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91c8a4d8e5c350d8/Desktop/"/>
    </mc:Choice>
  </mc:AlternateContent>
  <xr:revisionPtr revIDLastSave="0" documentId="8_{4BDA7135-4465-43EA-B536-9FDE85AE1C38}" xr6:coauthVersionLast="47" xr6:coauthVersionMax="47" xr10:uidLastSave="{00000000-0000-0000-0000-000000000000}"/>
  <bookViews>
    <workbookView xWindow="1060" yWindow="1060" windowWidth="17280" windowHeight="10690" tabRatio="500" xr2:uid="{00000000-000D-0000-FFFF-FFFF00000000}"/>
  </bookViews>
  <sheets>
    <sheet name="Instructions" sheetId="1" r:id="rId1"/>
    <sheet name="Assumptions" sheetId="2" r:id="rId2"/>
    <sheet name="Budget" sheetId="3" r:id="rId3"/>
    <sheet name="Cash Flow" sheetId="4" r:id="rId4"/>
    <sheet name="Actuals" sheetId="5" r:id="rId5"/>
    <sheet name="Budget vs Actual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4" i="6" l="1"/>
  <c r="N10" i="5"/>
  <c r="N9" i="5"/>
  <c r="N8" i="5"/>
  <c r="M7" i="5"/>
  <c r="M11" i="5" s="1"/>
  <c r="L7" i="5"/>
  <c r="L11" i="5" s="1"/>
  <c r="K7" i="5"/>
  <c r="K11" i="5" s="1"/>
  <c r="J7" i="5"/>
  <c r="J11" i="5" s="1"/>
  <c r="I7" i="5"/>
  <c r="I11" i="5" s="1"/>
  <c r="H7" i="5"/>
  <c r="H11" i="5" s="1"/>
  <c r="G7" i="5"/>
  <c r="G11" i="5" s="1"/>
  <c r="F7" i="5"/>
  <c r="F11" i="5" s="1"/>
  <c r="E7" i="5"/>
  <c r="E11" i="5" s="1"/>
  <c r="D7" i="5"/>
  <c r="D11" i="5" s="1"/>
  <c r="C7" i="5"/>
  <c r="C11" i="5" s="1"/>
  <c r="B7" i="5"/>
  <c r="N6" i="5"/>
  <c r="N5" i="5"/>
  <c r="B26" i="4"/>
  <c r="N18" i="4"/>
  <c r="N17" i="4"/>
  <c r="N16" i="4"/>
  <c r="B6" i="4"/>
  <c r="A3" i="4"/>
  <c r="B50" i="3"/>
  <c r="M47" i="3"/>
  <c r="M13" i="4" s="1"/>
  <c r="L47" i="3"/>
  <c r="L13" i="4" s="1"/>
  <c r="K47" i="3"/>
  <c r="K13" i="4" s="1"/>
  <c r="J47" i="3"/>
  <c r="J13" i="4" s="1"/>
  <c r="M46" i="3"/>
  <c r="L46" i="3"/>
  <c r="K46" i="3"/>
  <c r="J46" i="3"/>
  <c r="I46" i="3"/>
  <c r="H46" i="3"/>
  <c r="G46" i="3"/>
  <c r="F46" i="3"/>
  <c r="E46" i="3"/>
  <c r="D46" i="3"/>
  <c r="C46" i="3"/>
  <c r="B46" i="3"/>
  <c r="N46" i="3" s="1"/>
  <c r="A46" i="3"/>
  <c r="M45" i="3"/>
  <c r="L45" i="3"/>
  <c r="K45" i="3"/>
  <c r="J45" i="3"/>
  <c r="I45" i="3"/>
  <c r="H45" i="3"/>
  <c r="G45" i="3"/>
  <c r="F45" i="3"/>
  <c r="E45" i="3"/>
  <c r="D45" i="3"/>
  <c r="C45" i="3"/>
  <c r="B45" i="3"/>
  <c r="N45" i="3" s="1"/>
  <c r="A45" i="3"/>
  <c r="M44" i="3"/>
  <c r="L44" i="3"/>
  <c r="K44" i="3"/>
  <c r="J44" i="3"/>
  <c r="I44" i="3"/>
  <c r="H44" i="3"/>
  <c r="G44" i="3"/>
  <c r="F44" i="3"/>
  <c r="E44" i="3"/>
  <c r="D44" i="3"/>
  <c r="C44" i="3"/>
  <c r="B44" i="3"/>
  <c r="N44" i="3" s="1"/>
  <c r="A44" i="3"/>
  <c r="M43" i="3"/>
  <c r="L43" i="3"/>
  <c r="K43" i="3"/>
  <c r="J43" i="3"/>
  <c r="I43" i="3"/>
  <c r="H43" i="3"/>
  <c r="G43" i="3"/>
  <c r="F43" i="3"/>
  <c r="E43" i="3"/>
  <c r="D43" i="3"/>
  <c r="C43" i="3"/>
  <c r="B43" i="3"/>
  <c r="N43" i="3" s="1"/>
  <c r="A43" i="3"/>
  <c r="M42" i="3"/>
  <c r="L42" i="3"/>
  <c r="K42" i="3"/>
  <c r="J42" i="3"/>
  <c r="I42" i="3"/>
  <c r="H42" i="3"/>
  <c r="G42" i="3"/>
  <c r="F42" i="3"/>
  <c r="E42" i="3"/>
  <c r="D42" i="3"/>
  <c r="C42" i="3"/>
  <c r="B42" i="3"/>
  <c r="N42" i="3" s="1"/>
  <c r="A42" i="3"/>
  <c r="M41" i="3"/>
  <c r="L41" i="3"/>
  <c r="K41" i="3"/>
  <c r="J41" i="3"/>
  <c r="I41" i="3"/>
  <c r="H41" i="3"/>
  <c r="G41" i="3"/>
  <c r="F41" i="3"/>
  <c r="E41" i="3"/>
  <c r="D41" i="3"/>
  <c r="C41" i="3"/>
  <c r="B41" i="3"/>
  <c r="N41" i="3" s="1"/>
  <c r="A41" i="3"/>
  <c r="M40" i="3"/>
  <c r="L40" i="3"/>
  <c r="K40" i="3"/>
  <c r="J40" i="3"/>
  <c r="I40" i="3"/>
  <c r="I47" i="3" s="1"/>
  <c r="I13" i="4" s="1"/>
  <c r="H40" i="3"/>
  <c r="H47" i="3" s="1"/>
  <c r="H13" i="4" s="1"/>
  <c r="G40" i="3"/>
  <c r="G47" i="3" s="1"/>
  <c r="G13" i="4" s="1"/>
  <c r="F40" i="3"/>
  <c r="F47" i="3" s="1"/>
  <c r="F13" i="4" s="1"/>
  <c r="E40" i="3"/>
  <c r="E47" i="3" s="1"/>
  <c r="E13" i="4" s="1"/>
  <c r="D40" i="3"/>
  <c r="D47" i="3" s="1"/>
  <c r="D13" i="4" s="1"/>
  <c r="C40" i="3"/>
  <c r="C47" i="3" s="1"/>
  <c r="C13" i="4" s="1"/>
  <c r="B40" i="3"/>
  <c r="A40" i="3"/>
  <c r="M39" i="3"/>
  <c r="L39" i="3"/>
  <c r="N39" i="3" s="1"/>
  <c r="K39" i="3"/>
  <c r="J39" i="3"/>
  <c r="I39" i="3"/>
  <c r="H39" i="3"/>
  <c r="G39" i="3"/>
  <c r="F39" i="3"/>
  <c r="E39" i="3"/>
  <c r="D39" i="3"/>
  <c r="C39" i="3"/>
  <c r="B39" i="3"/>
  <c r="A39" i="3"/>
  <c r="M34" i="3"/>
  <c r="L34" i="3"/>
  <c r="K34" i="3"/>
  <c r="J34" i="3"/>
  <c r="I34" i="3"/>
  <c r="H34" i="3"/>
  <c r="G34" i="3"/>
  <c r="F34" i="3"/>
  <c r="E34" i="3"/>
  <c r="D34" i="3"/>
  <c r="C34" i="3"/>
  <c r="B34" i="3"/>
  <c r="N34" i="3" s="1"/>
  <c r="A34" i="3"/>
  <c r="M33" i="3"/>
  <c r="L33" i="3"/>
  <c r="K33" i="3"/>
  <c r="J33" i="3"/>
  <c r="I33" i="3"/>
  <c r="H33" i="3"/>
  <c r="G33" i="3"/>
  <c r="F33" i="3"/>
  <c r="E33" i="3"/>
  <c r="D33" i="3"/>
  <c r="C33" i="3"/>
  <c r="B33" i="3"/>
  <c r="N33" i="3" s="1"/>
  <c r="A33" i="3"/>
  <c r="M32" i="3"/>
  <c r="L32" i="3"/>
  <c r="K32" i="3"/>
  <c r="J32" i="3"/>
  <c r="I32" i="3"/>
  <c r="H32" i="3"/>
  <c r="G32" i="3"/>
  <c r="F32" i="3"/>
  <c r="E32" i="3"/>
  <c r="D32" i="3"/>
  <c r="C32" i="3"/>
  <c r="B32" i="3"/>
  <c r="N32" i="3" s="1"/>
  <c r="A32" i="3"/>
  <c r="M31" i="3"/>
  <c r="L31" i="3"/>
  <c r="K31" i="3"/>
  <c r="J31" i="3"/>
  <c r="I31" i="3"/>
  <c r="H31" i="3"/>
  <c r="G31" i="3"/>
  <c r="F31" i="3"/>
  <c r="E31" i="3"/>
  <c r="D31" i="3"/>
  <c r="C31" i="3"/>
  <c r="B31" i="3"/>
  <c r="N31" i="3" s="1"/>
  <c r="A31" i="3"/>
  <c r="M30" i="3"/>
  <c r="L30" i="3"/>
  <c r="K30" i="3"/>
  <c r="J30" i="3"/>
  <c r="I30" i="3"/>
  <c r="H30" i="3"/>
  <c r="G30" i="3"/>
  <c r="F30" i="3"/>
  <c r="E30" i="3"/>
  <c r="D30" i="3"/>
  <c r="C30" i="3"/>
  <c r="B30" i="3"/>
  <c r="N30" i="3" s="1"/>
  <c r="A30" i="3"/>
  <c r="M29" i="3"/>
  <c r="N29" i="3" s="1"/>
  <c r="L29" i="3"/>
  <c r="K29" i="3"/>
  <c r="J29" i="3"/>
  <c r="I29" i="3"/>
  <c r="H29" i="3"/>
  <c r="G29" i="3"/>
  <c r="F29" i="3"/>
  <c r="E29" i="3"/>
  <c r="D29" i="3"/>
  <c r="C29" i="3"/>
  <c r="B29" i="3"/>
  <c r="A29" i="3"/>
  <c r="M28" i="3"/>
  <c r="L28" i="3"/>
  <c r="K28" i="3"/>
  <c r="J28" i="3"/>
  <c r="I28" i="3"/>
  <c r="H28" i="3"/>
  <c r="G28" i="3"/>
  <c r="F28" i="3"/>
  <c r="E28" i="3"/>
  <c r="D28" i="3"/>
  <c r="C28" i="3"/>
  <c r="B28" i="3"/>
  <c r="N28" i="3" s="1"/>
  <c r="A28" i="3"/>
  <c r="M27" i="3"/>
  <c r="L27" i="3"/>
  <c r="K27" i="3"/>
  <c r="J27" i="3"/>
  <c r="I27" i="3"/>
  <c r="H27" i="3"/>
  <c r="G27" i="3"/>
  <c r="F27" i="3"/>
  <c r="E27" i="3"/>
  <c r="D27" i="3"/>
  <c r="C27" i="3"/>
  <c r="B27" i="3"/>
  <c r="A27" i="3"/>
  <c r="A20" i="3"/>
  <c r="A19" i="3"/>
  <c r="A18" i="3"/>
  <c r="A14" i="3"/>
  <c r="A13" i="3"/>
  <c r="A12" i="3"/>
  <c r="A9" i="3"/>
  <c r="A8" i="3"/>
  <c r="A7" i="3"/>
  <c r="A3" i="3"/>
  <c r="D12" i="2"/>
  <c r="C12" i="2"/>
  <c r="B12" i="2"/>
  <c r="H8" i="6" l="1"/>
  <c r="H9" i="6"/>
  <c r="C9" i="6"/>
  <c r="C10" i="6"/>
  <c r="H10" i="6"/>
  <c r="B12" i="6"/>
  <c r="C11" i="6"/>
  <c r="H11" i="6"/>
  <c r="H12" i="6"/>
  <c r="C7" i="6"/>
  <c r="H7" i="6"/>
  <c r="C12" i="6"/>
  <c r="C8" i="6"/>
  <c r="N7" i="5"/>
  <c r="B11" i="5"/>
  <c r="B27" i="4"/>
  <c r="B28" i="4"/>
  <c r="C26" i="4" s="1"/>
  <c r="B14" i="4"/>
  <c r="B47" i="3"/>
  <c r="N40" i="3"/>
  <c r="M35" i="3"/>
  <c r="M36" i="3" s="1"/>
  <c r="M12" i="4" s="1"/>
  <c r="L35" i="3"/>
  <c r="L36" i="3" s="1"/>
  <c r="L12" i="4" s="1"/>
  <c r="K35" i="3"/>
  <c r="K36" i="3" s="1"/>
  <c r="K12" i="4" s="1"/>
  <c r="J36" i="3"/>
  <c r="J12" i="4" s="1"/>
  <c r="J35" i="3"/>
  <c r="I35" i="3"/>
  <c r="I36" i="3" s="1"/>
  <c r="I12" i="4" s="1"/>
  <c r="H35" i="3"/>
  <c r="H36" i="3" s="1"/>
  <c r="H12" i="4" s="1"/>
  <c r="G35" i="3"/>
  <c r="G36" i="3"/>
  <c r="G12" i="4" s="1"/>
  <c r="F35" i="3"/>
  <c r="F36" i="3" s="1"/>
  <c r="F12" i="4" s="1"/>
  <c r="E35" i="3"/>
  <c r="E36" i="3" s="1"/>
  <c r="E12" i="4" s="1"/>
  <c r="D35" i="3"/>
  <c r="D36" i="3"/>
  <c r="D12" i="4" s="1"/>
  <c r="C35" i="3"/>
  <c r="C36" i="3"/>
  <c r="C12" i="4" s="1"/>
  <c r="N27" i="3"/>
  <c r="B35" i="3"/>
  <c r="B9" i="3"/>
  <c r="B8" i="3"/>
  <c r="B7" i="3"/>
  <c r="D12" i="6" l="1"/>
  <c r="E12" i="6"/>
  <c r="B15" i="4"/>
  <c r="C27" i="4"/>
  <c r="C50" i="3"/>
  <c r="N47" i="3"/>
  <c r="B13" i="4"/>
  <c r="N13" i="4" s="1"/>
  <c r="C9" i="3"/>
  <c r="B14" i="3"/>
  <c r="B13" i="3"/>
  <c r="C8" i="3"/>
  <c r="C7" i="3"/>
  <c r="B12" i="3"/>
  <c r="N11" i="5"/>
  <c r="H13" i="6"/>
  <c r="C13" i="6"/>
  <c r="B11" i="6"/>
  <c r="G11" i="6"/>
  <c r="N35" i="3"/>
  <c r="B36" i="3"/>
  <c r="C14" i="4" l="1"/>
  <c r="C14" i="3"/>
  <c r="C20" i="3" s="1"/>
  <c r="D9" i="3"/>
  <c r="B20" i="3"/>
  <c r="B19" i="3"/>
  <c r="C13" i="3"/>
  <c r="D8" i="3"/>
  <c r="D7" i="3"/>
  <c r="C12" i="3"/>
  <c r="B15" i="3"/>
  <c r="B18" i="3"/>
  <c r="D11" i="6"/>
  <c r="E11" i="6" s="1"/>
  <c r="J11" i="6"/>
  <c r="I11" i="6"/>
  <c r="B12" i="4"/>
  <c r="N12" i="4" s="1"/>
  <c r="N36" i="3"/>
  <c r="B10" i="6"/>
  <c r="G10" i="6"/>
  <c r="C15" i="4"/>
  <c r="C28" i="4"/>
  <c r="D26" i="4" s="1"/>
  <c r="E9" i="3" l="1"/>
  <c r="D14" i="3"/>
  <c r="E8" i="3"/>
  <c r="D13" i="3"/>
  <c r="D19" i="3" s="1"/>
  <c r="D12" i="3"/>
  <c r="E7" i="3"/>
  <c r="C15" i="3"/>
  <c r="C18" i="3"/>
  <c r="C21" i="3" s="1"/>
  <c r="C11" i="4" s="1"/>
  <c r="C19" i="4" s="1"/>
  <c r="B7" i="6"/>
  <c r="B8" i="4"/>
  <c r="B21" i="3"/>
  <c r="B23" i="3" s="1"/>
  <c r="B24" i="3" s="1"/>
  <c r="D10" i="6"/>
  <c r="E10" i="6" s="1"/>
  <c r="J10" i="6"/>
  <c r="I10" i="6"/>
  <c r="D50" i="3"/>
  <c r="D27" i="4"/>
  <c r="D28" i="4"/>
  <c r="E26" i="4" s="1"/>
  <c r="C19" i="3"/>
  <c r="F9" i="3" l="1"/>
  <c r="E14" i="3"/>
  <c r="E20" i="3" s="1"/>
  <c r="D20" i="3"/>
  <c r="F8" i="3"/>
  <c r="E13" i="3"/>
  <c r="D15" i="3"/>
  <c r="D18" i="3"/>
  <c r="F7" i="3"/>
  <c r="E12" i="3"/>
  <c r="C23" i="3"/>
  <c r="C49" i="3" s="1"/>
  <c r="C51" i="3" s="1"/>
  <c r="C24" i="3"/>
  <c r="C52" i="3"/>
  <c r="C8" i="4"/>
  <c r="C21" i="4" s="1"/>
  <c r="D7" i="6"/>
  <c r="E7" i="6"/>
  <c r="B9" i="6"/>
  <c r="B49" i="3"/>
  <c r="B51" i="3" s="1"/>
  <c r="B8" i="6"/>
  <c r="B11" i="4"/>
  <c r="D14" i="4"/>
  <c r="D15" i="4"/>
  <c r="E27" i="4"/>
  <c r="E50" i="3"/>
  <c r="F14" i="3" l="1"/>
  <c r="G9" i="3"/>
  <c r="F13" i="3"/>
  <c r="F19" i="3" s="1"/>
  <c r="G8" i="3"/>
  <c r="E19" i="3"/>
  <c r="D8" i="4"/>
  <c r="D21" i="3"/>
  <c r="D23" i="3" s="1"/>
  <c r="D24" i="3" s="1"/>
  <c r="G7" i="3"/>
  <c r="F12" i="3"/>
  <c r="E15" i="3"/>
  <c r="E18" i="3"/>
  <c r="D9" i="6"/>
  <c r="E9" i="6"/>
  <c r="B52" i="3"/>
  <c r="B13" i="6"/>
  <c r="D8" i="6"/>
  <c r="E8" i="6" s="1"/>
  <c r="B19" i="4"/>
  <c r="E15" i="4"/>
  <c r="E28" i="4"/>
  <c r="F26" i="4" s="1"/>
  <c r="E14" i="4"/>
  <c r="F20" i="3" l="1"/>
  <c r="H9" i="3"/>
  <c r="G14" i="3"/>
  <c r="G20" i="3" s="1"/>
  <c r="H8" i="3"/>
  <c r="G13" i="3"/>
  <c r="D49" i="3"/>
  <c r="D51" i="3" s="1"/>
  <c r="D11" i="4"/>
  <c r="H7" i="3"/>
  <c r="G12" i="3"/>
  <c r="F15" i="3"/>
  <c r="F18" i="3"/>
  <c r="E23" i="3"/>
  <c r="E24" i="3"/>
  <c r="E52" i="3"/>
  <c r="E8" i="4"/>
  <c r="D13" i="6"/>
  <c r="E13" i="6" s="1"/>
  <c r="B21" i="4"/>
  <c r="B22" i="4" s="1"/>
  <c r="F27" i="4"/>
  <c r="F50" i="3"/>
  <c r="F28" i="4"/>
  <c r="G26" i="4" s="1"/>
  <c r="E21" i="3"/>
  <c r="E11" i="4" s="1"/>
  <c r="E19" i="4" s="1"/>
  <c r="I9" i="3" l="1"/>
  <c r="H14" i="3"/>
  <c r="H13" i="3"/>
  <c r="I8" i="3"/>
  <c r="G19" i="3"/>
  <c r="D52" i="3"/>
  <c r="D19" i="4"/>
  <c r="I7" i="3"/>
  <c r="H12" i="3"/>
  <c r="G15" i="3"/>
  <c r="G18" i="3"/>
  <c r="G21" i="3" s="1"/>
  <c r="F23" i="3"/>
  <c r="F8" i="4"/>
  <c r="C6" i="4"/>
  <c r="C22" i="4" s="1"/>
  <c r="B23" i="4"/>
  <c r="F15" i="4"/>
  <c r="F14" i="4"/>
  <c r="G27" i="4"/>
  <c r="G15" i="4" s="1"/>
  <c r="G28" i="4"/>
  <c r="H26" i="4" s="1"/>
  <c r="G50" i="3"/>
  <c r="F21" i="3"/>
  <c r="E49" i="3"/>
  <c r="E51" i="3" s="1"/>
  <c r="E21" i="4"/>
  <c r="I14" i="3" l="1"/>
  <c r="I20" i="3" s="1"/>
  <c r="J9" i="3"/>
  <c r="H20" i="3"/>
  <c r="I13" i="3"/>
  <c r="J8" i="3"/>
  <c r="D21" i="4"/>
  <c r="I12" i="3"/>
  <c r="J7" i="3"/>
  <c r="H15" i="3"/>
  <c r="H18" i="3"/>
  <c r="G23" i="3"/>
  <c r="G49" i="3" s="1"/>
  <c r="G51" i="3" s="1"/>
  <c r="G24" i="3"/>
  <c r="G52" i="3"/>
  <c r="G8" i="4"/>
  <c r="G11" i="4"/>
  <c r="D6" i="4"/>
  <c r="C23" i="4"/>
  <c r="F19" i="4"/>
  <c r="F21" i="4" s="1"/>
  <c r="H27" i="4"/>
  <c r="H28" i="4" s="1"/>
  <c r="I26" i="4" s="1"/>
  <c r="H50" i="3"/>
  <c r="H14" i="4" s="1"/>
  <c r="F11" i="4"/>
  <c r="H19" i="3"/>
  <c r="F49" i="3"/>
  <c r="F51" i="3" s="1"/>
  <c r="F24" i="3"/>
  <c r="G14" i="4"/>
  <c r="K9" i="3" l="1"/>
  <c r="J14" i="3"/>
  <c r="K8" i="3"/>
  <c r="J13" i="3"/>
  <c r="I15" i="3"/>
  <c r="I18" i="3"/>
  <c r="J12" i="3"/>
  <c r="K7" i="3"/>
  <c r="H8" i="4"/>
  <c r="H21" i="3"/>
  <c r="H23" i="3" s="1"/>
  <c r="G19" i="4"/>
  <c r="G21" i="4" s="1"/>
  <c r="I50" i="3"/>
  <c r="I27" i="4"/>
  <c r="H15" i="4"/>
  <c r="F52" i="3"/>
  <c r="D22" i="4"/>
  <c r="I19" i="3"/>
  <c r="L9" i="3" l="1"/>
  <c r="K14" i="3"/>
  <c r="J20" i="3"/>
  <c r="L8" i="3"/>
  <c r="K13" i="3"/>
  <c r="I23" i="3"/>
  <c r="I8" i="4"/>
  <c r="J15" i="3"/>
  <c r="J18" i="3"/>
  <c r="K12" i="3"/>
  <c r="L7" i="3"/>
  <c r="H11" i="4"/>
  <c r="I14" i="4"/>
  <c r="D23" i="4"/>
  <c r="E6" i="4"/>
  <c r="E22" i="4" s="1"/>
  <c r="J19" i="3"/>
  <c r="I21" i="3"/>
  <c r="I11" i="4" s="1"/>
  <c r="H24" i="3"/>
  <c r="H49" i="3"/>
  <c r="H51" i="3" s="1"/>
  <c r="H52" i="3" s="1"/>
  <c r="I15" i="4"/>
  <c r="I28" i="4"/>
  <c r="J26" i="4" s="1"/>
  <c r="L14" i="3" l="1"/>
  <c r="L20" i="3" s="1"/>
  <c r="M9" i="3"/>
  <c r="M14" i="3" s="1"/>
  <c r="M8" i="3"/>
  <c r="M13" i="3" s="1"/>
  <c r="M19" i="3" s="1"/>
  <c r="L13" i="3"/>
  <c r="L19" i="3" s="1"/>
  <c r="J23" i="3"/>
  <c r="J49" i="3" s="1"/>
  <c r="J24" i="3"/>
  <c r="J8" i="4"/>
  <c r="K15" i="3"/>
  <c r="K18" i="3"/>
  <c r="K21" i="3" s="1"/>
  <c r="L12" i="3"/>
  <c r="M7" i="3"/>
  <c r="M12" i="3" s="1"/>
  <c r="H19" i="4"/>
  <c r="I19" i="4"/>
  <c r="I21" i="4" s="1"/>
  <c r="F6" i="4"/>
  <c r="F22" i="4" s="1"/>
  <c r="E23" i="4"/>
  <c r="J50" i="3"/>
  <c r="J27" i="4"/>
  <c r="J28" i="4" s="1"/>
  <c r="K26" i="4" s="1"/>
  <c r="K20" i="3"/>
  <c r="K19" i="3"/>
  <c r="N19" i="3" s="1"/>
  <c r="N13" i="3"/>
  <c r="I49" i="3"/>
  <c r="I51" i="3" s="1"/>
  <c r="I52" i="3" s="1"/>
  <c r="I24" i="3"/>
  <c r="J21" i="3"/>
  <c r="J11" i="4" s="1"/>
  <c r="K23" i="3" l="1"/>
  <c r="K49" i="3" s="1"/>
  <c r="K24" i="3"/>
  <c r="K8" i="4"/>
  <c r="K11" i="4"/>
  <c r="N12" i="3"/>
  <c r="L15" i="3"/>
  <c r="L18" i="3"/>
  <c r="M15" i="3"/>
  <c r="M18" i="3"/>
  <c r="M21" i="3" s="1"/>
  <c r="H21" i="4"/>
  <c r="F23" i="4"/>
  <c r="G6" i="4"/>
  <c r="G22" i="4" s="1"/>
  <c r="J14" i="4"/>
  <c r="J15" i="4"/>
  <c r="K27" i="4"/>
  <c r="K50" i="3"/>
  <c r="J51" i="3"/>
  <c r="J52" i="3" s="1"/>
  <c r="N20" i="3"/>
  <c r="M20" i="3"/>
  <c r="N14" i="3"/>
  <c r="K19" i="4" l="1"/>
  <c r="K21" i="4" s="1"/>
  <c r="N15" i="3"/>
  <c r="L8" i="4"/>
  <c r="N8" i="4" s="1"/>
  <c r="N18" i="3"/>
  <c r="L21" i="3"/>
  <c r="L23" i="3" s="1"/>
  <c r="G7" i="6"/>
  <c r="M23" i="3"/>
  <c r="M24" i="3"/>
  <c r="M8" i="4"/>
  <c r="G8" i="6"/>
  <c r="M11" i="4"/>
  <c r="H6" i="4"/>
  <c r="H22" i="4" s="1"/>
  <c r="G23" i="4"/>
  <c r="J19" i="4"/>
  <c r="K51" i="3"/>
  <c r="K52" i="3" s="1"/>
  <c r="K15" i="4"/>
  <c r="K28" i="4"/>
  <c r="L26" i="4" s="1"/>
  <c r="K14" i="4"/>
  <c r="N23" i="3" l="1"/>
  <c r="N21" i="3"/>
  <c r="L11" i="4"/>
  <c r="I7" i="6"/>
  <c r="J7" i="6" s="1"/>
  <c r="G9" i="6"/>
  <c r="M49" i="3"/>
  <c r="I8" i="6"/>
  <c r="J8" i="6"/>
  <c r="H23" i="4"/>
  <c r="I6" i="4"/>
  <c r="I22" i="4" s="1"/>
  <c r="J21" i="4"/>
  <c r="L50" i="3"/>
  <c r="L28" i="4"/>
  <c r="M26" i="4" s="1"/>
  <c r="L27" i="4"/>
  <c r="L24" i="3"/>
  <c r="L49" i="3"/>
  <c r="N11" i="4" l="1"/>
  <c r="L19" i="4"/>
  <c r="J9" i="6"/>
  <c r="I9" i="6"/>
  <c r="I23" i="4"/>
  <c r="J6" i="4"/>
  <c r="J22" i="4" s="1"/>
  <c r="L14" i="4"/>
  <c r="M27" i="4"/>
  <c r="M15" i="4" s="1"/>
  <c r="M28" i="4"/>
  <c r="M50" i="3"/>
  <c r="N50" i="3" s="1"/>
  <c r="N51" i="3" s="1"/>
  <c r="N52" i="3" s="1"/>
  <c r="N27" i="4"/>
  <c r="L15" i="4"/>
  <c r="N15" i="4" s="1"/>
  <c r="L51" i="3"/>
  <c r="L52" i="3" s="1"/>
  <c r="N49" i="3"/>
  <c r="N24" i="3"/>
  <c r="L21" i="4" l="1"/>
  <c r="K6" i="4"/>
  <c r="K22" i="4" s="1"/>
  <c r="J23" i="4"/>
  <c r="M51" i="3"/>
  <c r="G12" i="6"/>
  <c r="M14" i="4"/>
  <c r="K23" i="4" l="1"/>
  <c r="L6" i="4"/>
  <c r="L22" i="4" s="1"/>
  <c r="G13" i="6"/>
  <c r="M52" i="3"/>
  <c r="I12" i="6"/>
  <c r="J12" i="6" s="1"/>
  <c r="N14" i="4"/>
  <c r="M19" i="4"/>
  <c r="L23" i="4" l="1"/>
  <c r="M6" i="4"/>
  <c r="M22" i="4" s="1"/>
  <c r="M23" i="4" s="1"/>
  <c r="I13" i="6"/>
  <c r="J13" i="6" s="1"/>
  <c r="N19" i="4"/>
  <c r="N21" i="4" s="1"/>
  <c r="M21" i="4"/>
</calcChain>
</file>

<file path=xl/sharedStrings.xml><?xml version="1.0" encoding="utf-8"?>
<sst xmlns="http://schemas.openxmlformats.org/spreadsheetml/2006/main" count="191" uniqueCount="145">
  <si>
    <t>2027 Business Budget Template</t>
  </si>
  <si>
    <t>Provided by CW Business Advisory | cwbusinessadvisory.com</t>
  </si>
  <si>
    <t>How to use this template</t>
  </si>
  <si>
    <t>1. Go to the Assumptions tab and replace the sample numbers with your own. Every input cell is in blue text; key inputs are also highlighted yellow.</t>
  </si>
  <si>
    <t>2. Pick a scenario (Base, Downside or Upside) in the yellow cell at the top of Assumptions. The whole budget and cash forecast update automatically.</t>
  </si>
  <si>
    <t>3. Review the Budget tab (monthly P&amp;L) and the Cash Flow tab (monthly cash forecast). These are all formulas, so you don't need to edit them.</t>
  </si>
  <si>
    <t>4. Fill in planned capital purchases, owner distributions and estimated tax payments directly on the Cash Flow tab (blue rows).</t>
  </si>
  <si>
    <t>5. Each month, enter your actual results on the Actuals tab, then use Budget vs Actual to compare.</t>
  </si>
  <si>
    <t>Color legend</t>
  </si>
  <si>
    <t>Blue text = input you can change</t>
  </si>
  <si>
    <t>Black text = formula (don't edit)</t>
  </si>
  <si>
    <t>Green text = pulls from another tab</t>
  </si>
  <si>
    <t>Yellow fill = key assumption</t>
  </si>
  <si>
    <t>Sample data</t>
  </si>
  <si>
    <t>The template comes filled with sample numbers for a fictional professional services firm so you can see how it works. Replace them with your own figures.</t>
  </si>
  <si>
    <t>Need help building your 2027 budget?</t>
  </si>
  <si>
    <t>CW Business Advisory builds budgets, cash forecasts and scenario plans for businesses with $1M to $40M in revenue.</t>
  </si>
  <si>
    <t>Book a free consultation: https://cwbusinessadvisory.com/book-a-consultation/</t>
  </si>
  <si>
    <t>Assumptions</t>
  </si>
  <si>
    <t>Edit the blue cells. Sample data shown for a fictional professional services firm.</t>
  </si>
  <si>
    <t>Company name</t>
  </si>
  <si>
    <t>Sample Company LLC</t>
  </si>
  <si>
    <t>Budget year</t>
  </si>
  <si>
    <t>2027</t>
  </si>
  <si>
    <t>Active scenario</t>
  </si>
  <si>
    <t>Base</t>
  </si>
  <si>
    <t>Scenario</t>
  </si>
  <si>
    <t>New customer adj.</t>
  </si>
  <si>
    <t>Price adj.</t>
  </si>
  <si>
    <t>Direct cost adj.</t>
  </si>
  <si>
    <t>Downside and upside adjust new customers, pricing and direct costs vs. base. Edit to fit your business.</t>
  </si>
  <si>
    <t>Downside</t>
  </si>
  <si>
    <t>Upside</t>
  </si>
  <si>
    <t>Selected</t>
  </si>
  <si>
    <t>Revenue stream</t>
  </si>
  <si>
    <t>Starting customers (Jan 1)</t>
  </si>
  <si>
    <t>New customers / month</t>
  </si>
  <si>
    <t>Monthly churn %</t>
  </si>
  <si>
    <t>Avg. monthly price ($)</t>
  </si>
  <si>
    <t>Direct cost % of revenue</t>
  </si>
  <si>
    <t>Monthly accounting clients</t>
  </si>
  <si>
    <t>Advisory projects</t>
  </si>
  <si>
    <t>Revenue stream 3</t>
  </si>
  <si>
    <t>Role</t>
  </si>
  <si>
    <t>Annual salary ($)</t>
  </si>
  <si>
    <t>Start month (1-12)</t>
  </si>
  <si>
    <t>Headcount</t>
  </si>
  <si>
    <t>Owner / CEO</t>
  </si>
  <si>
    <t>Senior accountant</t>
  </si>
  <si>
    <t>Staff accountant</t>
  </si>
  <si>
    <t>Staff accountant (new hire)</t>
  </si>
  <si>
    <t>Operations manager</t>
  </si>
  <si>
    <t>Role 6</t>
  </si>
  <si>
    <t>Role 7</t>
  </si>
  <si>
    <t>Role 8</t>
  </si>
  <si>
    <t>Payroll taxes and benefits (% of salary)</t>
  </si>
  <si>
    <t>Operating expense</t>
  </si>
  <si>
    <t>Monthly amount ($)</t>
  </si>
  <si>
    <t>Rent and utilities</t>
  </si>
  <si>
    <t>Software and subscriptions</t>
  </si>
  <si>
    <t>Insurance</t>
  </si>
  <si>
    <t>Marketing and advertising</t>
  </si>
  <si>
    <t>Professional fees (legal, tax)</t>
  </si>
  <si>
    <t>Travel and meals</t>
  </si>
  <si>
    <t>Training and development</t>
  </si>
  <si>
    <t>Other</t>
  </si>
  <si>
    <t>Debt and cash</t>
  </si>
  <si>
    <t>Value</t>
  </si>
  <si>
    <t>Opening cash balance (Jan 1)</t>
  </si>
  <si>
    <t>Opening accounts receivable (Jan 1)</t>
  </si>
  <si>
    <t>% of revenue collected in month billed</t>
  </si>
  <si>
    <t>The rest is collected the following month.</t>
  </si>
  <si>
    <t>Debt balance (Jan 1)</t>
  </si>
  <si>
    <t>Annual interest rate on debt</t>
  </si>
  <si>
    <t>Stress-test: try 1-2 points higher for 2027.</t>
  </si>
  <si>
    <t>Monthly principal payment</t>
  </si>
  <si>
    <t>Minimum cash balance (alert threshold)</t>
  </si>
  <si>
    <t>Monthly Budget (P&amp;L)</t>
  </si>
  <si>
    <t>All formulas. Change inputs on the Assumptions tab.</t>
  </si>
  <si>
    <t>($)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</si>
  <si>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</si>
  <si>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</si>
  <si>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</si>
  <si>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</si>
  <si>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</si>
  <si>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</si>
  <si>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</si>
  <si>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</si>
  <si>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</si>
  <si>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</si>
  <si>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</si>
  <si>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</si>
  <si>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</si>
  <si>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Customers (end of month)</t>
  </si>
  <si>
    <t>Revenue</t>
  </si>
  <si>
    <t>Total revenue</t>
  </si>
  <si>
    <t>Direct costs</t>
  </si>
  <si>
    <t>Total direct costs</t>
  </si>
  <si>
    <t>Gross profit</t>
  </si>
  <si>
    <t>Gross margin %</t>
  </si>
  <si>
    <t>Payroll</t>
  </si>
  <si>
    <t>Payroll taxes and benefits</t>
  </si>
  <si>
    <t>Total payroll</t>
  </si>
  <si>
    <t>Operating expenses</t>
  </si>
  <si>
    <t>Total operating expenses</t>
  </si>
  <si>
    <t>Operating income (EBITDA)</t>
  </si>
  <si>
    <t>Interest expense</t>
  </si>
  <si>
    <t>Net income (before taxes)</t>
  </si>
  <si>
    <t>Net margin %</t>
  </si>
  <si>
    <t>Monthly Cash Flow Forecast</t>
  </si>
  <si>
    <t>Formulas plus three blue input rows for capex, owner distributions and tax payments.</t>
  </si>
  <si>
    <t>Beginning cash</t>
  </si>
  <si>
    <t>Cash in</t>
  </si>
  <si>
    <t>Collections from customers</t>
  </si>
  <si>
    <t>Cash out</t>
  </si>
  <si>
    <t>Interest</t>
  </si>
  <si>
    <t>Debt principal payments</t>
  </si>
  <si>
    <t>Capital purchases</t>
  </si>
  <si>
    <t>Owner distributions</t>
  </si>
  <si>
    <t>Estimated tax payments</t>
  </si>
  <si>
    <t>Total cash out</t>
  </si>
  <si>
    <t>Net cash flow</t>
  </si>
  <si>
    <t>Ending cash</t>
  </si>
  <si>
    <t>Below minimum cash?</t>
  </si>
  <si>
    <t>Debt schedule</t>
  </si>
  <si>
    <t>Beginning debt balance</t>
  </si>
  <si>
    <t>Principal paid</t>
  </si>
  <si>
    <t>Ending debt balance</t>
  </si>
  <si>
    <t>Monthly Actuals</t>
  </si>
  <si>
    <t>Enter actual results from your accounting system each month (blue cells). Gross profit and net income calculate automatically.</t>
  </si>
  <si>
    <t>YTD</t>
  </si>
  <si>
    <t>Sample: January actuals are filled in as an example. Replace or clear them.</t>
  </si>
  <si>
    <t>Budget vs. Actual</t>
  </si>
  <si>
    <t>Pick a month. Variances are favorable when positive.</t>
  </si>
  <si>
    <t>Month</t>
  </si>
  <si>
    <t>Budget</t>
  </si>
  <si>
    <t>Actual</t>
  </si>
  <si>
    <t>Variance $</t>
  </si>
  <si>
    <t>Variance %</t>
  </si>
  <si>
    <t>YTD Budget</t>
  </si>
  <si>
    <t>YTD Actual</t>
  </si>
  <si>
    <t>YTD Variance $</t>
  </si>
  <si>
    <t>YTD Variance %</t>
  </si>
  <si>
    <t>Red = unfavorable. For costs, spending under budget shows as a positive (favorable) variance.</t>
  </si>
  <si>
    <t>Want help digging into your variances? Book a free consultation: cwbusinessadvisory.com/book-a-consultation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</si>
</sst>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;\(0.0%\);\-"/>
    <numFmt numFmtId="165" formatCode="#,##0;\(#,##0\);\-"/>
    <numFmt numFmtId="166" formatCode="\$#,##0;&quot;($&quot;#,##0\);\-"/>
    <numFmt numFmtId="167" formatCode="#,##0.0;\(#,##0.0\);\-"/>
  </numFmts>
  <fonts count="13" x14ac:knownFonts="1">
    <font>
      <sz val="11"/>
      <color theme="1"/>
      <name val="Calibri"/>
      <family val="2"/>
      <charset val="1"/>
    </font>
    <font>
      <b/>
      <sz val="14"/>
      <color rgb="FF000000"/>
      <name val="Arial"/>
      <charset val="1"/>
    </font>
    <font>
      <i/>
      <sz val="10"/>
      <color rgb="FF555555"/>
      <name val="Arial"/>
      <charset val="1"/>
    </font>
    <font>
      <sz val="11"/>
      <color theme="1"/>
      <name val="Arial"/>
      <charset val="1"/>
    </font>
    <font>
      <b/>
      <sz val="10"/>
      <color rgb="FF000000"/>
      <name val="Arial"/>
      <charset val="1"/>
    </font>
    <font>
      <sz val="10"/>
      <color rgb="FF000000"/>
      <name val="Arial"/>
      <charset val="1"/>
    </font>
    <font>
      <sz val="10"/>
      <color rgb="FF0000FF"/>
      <name val="Arial"/>
      <charset val="1"/>
    </font>
    <font>
      <sz val="10"/>
      <color rgb="FF008000"/>
      <name val="Arial"/>
      <charset val="1"/>
    </font>
    <font>
      <b/>
      <sz val="10"/>
      <color rgb="FF0563C1"/>
      <name val="Arial"/>
      <charset val="1"/>
    </font>
    <font>
      <b/>
      <sz val="10"/>
      <color rgb="FFFFFFFF"/>
      <name val="Arial"/>
      <charset val="1"/>
    </font>
    <font>
      <b/>
      <sz val="10"/>
      <color rgb="FF008000"/>
      <name val="Arial"/>
      <charset val="1"/>
    </font>
    <font>
      <i/>
      <sz val="10"/>
      <color rgb="FF000000"/>
      <name val="Arial"/>
      <charset val="1"/>
    </font>
    <font>
      <sz val="10"/>
      <color rgb="FFFFFFFF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2A1C"/>
        <bgColor rgb="FF333300"/>
      </patternFill>
    </fill>
    <fill>
      <patternFill patternType="solid">
        <fgColor rgb="FFE8EBE4"/>
        <bgColor rgb="FFFCE4E4"/>
      </patternFill>
    </fill>
  </fills>
  <borders count="3">
    <border>
      <left/>
      <right/>
      <top/>
      <bottom/>
      <diagonal/>
    </border>
    <border>
      <left/>
      <right/>
      <top style="thin">
        <color rgb="FF999999"/>
      </top>
      <bottom/>
      <diagonal/>
    </border>
    <border>
      <left/>
      <right/>
      <top style="thin">
        <color rgb="FF999999"/>
      </top>
      <bottom style="double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8" fillId="0" borderId="0" xfId="0" applyFont="1" applyAlignment="1">
      <alignment vertical="top" wrapText="1"/>
    </xf>
    <xf numFmtId="0" fontId="4" fillId="0" borderId="0" xfId="0" applyFont="1"/>
    <xf numFmtId="0" fontId="6" fillId="0" borderId="0" xfId="0" applyFont="1"/>
    <xf numFmtId="0" fontId="6" fillId="2" borderId="0" xfId="0" applyFont="1" applyFill="1"/>
    <xf numFmtId="0" fontId="9" fillId="3" borderId="0" xfId="0" applyFont="1" applyFill="1" applyAlignment="1">
      <alignment horizontal="left" wrapText="1"/>
    </xf>
    <xf numFmtId="0" fontId="9" fillId="3" borderId="0" xfId="0" applyFont="1" applyFill="1" applyAlignment="1">
      <alignment horizontal="center" wrapText="1"/>
    </xf>
    <xf numFmtId="0" fontId="5" fillId="0" borderId="0" xfId="0" applyFont="1"/>
    <xf numFmtId="164" fontId="6" fillId="0" borderId="0" xfId="0" applyNumberFormat="1" applyFont="1"/>
    <xf numFmtId="164" fontId="4" fillId="0" borderId="1" xfId="0" applyNumberFormat="1" applyFont="1" applyBorder="1"/>
    <xf numFmtId="165" fontId="6" fillId="0" borderId="0" xfId="0" applyNumberFormat="1" applyFont="1"/>
    <xf numFmtId="165" fontId="6" fillId="2" borderId="0" xfId="0" applyNumberFormat="1" applyFont="1" applyFill="1"/>
    <xf numFmtId="166" fontId="6" fillId="2" borderId="0" xfId="0" applyNumberFormat="1" applyFont="1" applyFill="1"/>
    <xf numFmtId="166" fontId="6" fillId="0" borderId="0" xfId="0" applyNumberFormat="1" applyFont="1"/>
    <xf numFmtId="1" fontId="6" fillId="0" borderId="0" xfId="0" applyNumberFormat="1" applyFont="1"/>
    <xf numFmtId="164" fontId="6" fillId="2" borderId="0" xfId="0" applyNumberFormat="1" applyFont="1" applyFill="1"/>
    <xf numFmtId="0" fontId="10" fillId="0" borderId="0" xfId="0" applyFont="1"/>
    <xf numFmtId="0" fontId="4" fillId="4" borderId="0" xfId="0" applyFont="1" applyFill="1"/>
    <xf numFmtId="0" fontId="3" fillId="4" borderId="0" xfId="0" applyFont="1" applyFill="1"/>
    <xf numFmtId="0" fontId="7" fillId="0" borderId="0" xfId="0" applyFont="1"/>
    <xf numFmtId="167" fontId="3" fillId="0" borderId="0" xfId="0" applyNumberFormat="1" applyFont="1"/>
    <xf numFmtId="166" fontId="3" fillId="0" borderId="0" xfId="0" applyNumberFormat="1" applyFont="1"/>
    <xf numFmtId="166" fontId="4" fillId="0" borderId="0" xfId="0" applyNumberFormat="1" applyFont="1"/>
    <xf numFmtId="166" fontId="4" fillId="0" borderId="1" xfId="0" applyNumberFormat="1" applyFont="1" applyBorder="1"/>
    <xf numFmtId="0" fontId="11" fillId="0" borderId="0" xfId="0" applyFont="1"/>
    <xf numFmtId="164" fontId="11" fillId="0" borderId="0" xfId="0" applyNumberFormat="1" applyFont="1"/>
    <xf numFmtId="166" fontId="7" fillId="0" borderId="0" xfId="0" applyNumberFormat="1" applyFont="1"/>
    <xf numFmtId="166" fontId="4" fillId="0" borderId="2" xfId="0" applyNumberFormat="1" applyFont="1" applyBorder="1"/>
    <xf numFmtId="0" fontId="4" fillId="0" borderId="0" xfId="0" applyFont="1" applyAlignment="1">
      <alignment horizontal="center"/>
    </xf>
    <xf numFmtId="0" fontId="12" fillId="0" borderId="0" xfId="0" applyFont="1"/>
    <xf numFmtId="164" fontId="3" fillId="0" borderId="0" xfId="0" applyNumberFormat="1" applyFont="1"/>
    <xf numFmtId="0" fontId="8" fillId="0" borderId="0" xfId="0" applyFont="1"/>
  </cellXfs>
  <cellStyles count="1">
    <cellStyle name="Normal" xfId="0" builtinId="0"/>
  </cellStyles>
  <dxfs count="3">
    <dxf>
      <font>
        <color rgb="FFC00000"/>
        <name val="Arial"/>
        <charset val="1"/>
      </font>
    </dxf>
    <dxf>
      <font>
        <color rgb="FFC00000"/>
        <name val="Arial"/>
        <charset val="1"/>
      </font>
    </dxf>
    <dxf>
      <font>
        <b/>
        <color rgb="FFC00000"/>
        <name val="Arial"/>
        <charset val="1"/>
      </font>
      <fill>
        <patternFill>
          <bgColor rgb="FFFCE4E4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8EBE4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55555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1F2A1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wbusinessadvisory.com/book-a-consultation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cwbusinessadvisory.com/book-a-consulta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2"/>
  <sheetViews>
    <sheetView showGridLines="0" tabSelected="1" zoomScaleNormal="100" workbookViewId="0"/>
  </sheetViews>
  <sheetFormatPr defaultColWidth="8.6328125" defaultRowHeight="14.5" x14ac:dyDescent="0.35"/>
  <cols>
    <col min="1" max="1" width="110" customWidth="1"/>
  </cols>
  <sheetData>
    <row r="1" spans="1:1" ht="18" x14ac:dyDescent="0.4">
      <c r="A1" s="1" t="s">
        <v>0</v>
      </c>
    </row>
    <row r="2" spans="1:1" x14ac:dyDescent="0.35">
      <c r="A2" s="2" t="s">
        <v>1</v>
      </c>
    </row>
    <row r="3" spans="1:1" x14ac:dyDescent="0.35">
      <c r="A3" s="3"/>
    </row>
    <row r="4" spans="1:1" x14ac:dyDescent="0.35">
      <c r="A4" s="4" t="s">
        <v>2</v>
      </c>
    </row>
    <row r="5" spans="1:1" ht="25" x14ac:dyDescent="0.35">
      <c r="A5" s="5" t="s">
        <v>3</v>
      </c>
    </row>
    <row r="6" spans="1:1" ht="25" x14ac:dyDescent="0.35">
      <c r="A6" s="5" t="s">
        <v>4</v>
      </c>
    </row>
    <row r="7" spans="1:1" ht="25" x14ac:dyDescent="0.35">
      <c r="A7" s="5" t="s">
        <v>5</v>
      </c>
    </row>
    <row r="8" spans="1:1" x14ac:dyDescent="0.35">
      <c r="A8" s="5" t="s">
        <v>6</v>
      </c>
    </row>
    <row r="9" spans="1:1" x14ac:dyDescent="0.35">
      <c r="A9" s="5" t="s">
        <v>7</v>
      </c>
    </row>
    <row r="10" spans="1:1" x14ac:dyDescent="0.35">
      <c r="A10" s="5"/>
    </row>
    <row r="11" spans="1:1" x14ac:dyDescent="0.35">
      <c r="A11" s="4" t="s">
        <v>8</v>
      </c>
    </row>
    <row r="12" spans="1:1" x14ac:dyDescent="0.35">
      <c r="A12" s="6" t="s">
        <v>9</v>
      </c>
    </row>
    <row r="13" spans="1:1" x14ac:dyDescent="0.35">
      <c r="A13" s="5" t="s">
        <v>10</v>
      </c>
    </row>
    <row r="14" spans="1:1" x14ac:dyDescent="0.35">
      <c r="A14" s="7" t="s">
        <v>11</v>
      </c>
    </row>
    <row r="15" spans="1:1" x14ac:dyDescent="0.35">
      <c r="A15" s="8" t="s">
        <v>12</v>
      </c>
    </row>
    <row r="16" spans="1:1" x14ac:dyDescent="0.35">
      <c r="A16" s="5"/>
    </row>
    <row r="17" spans="1:1" x14ac:dyDescent="0.35">
      <c r="A17" s="4" t="s">
        <v>13</v>
      </c>
    </row>
    <row r="18" spans="1:1" ht="25" x14ac:dyDescent="0.35">
      <c r="A18" s="5" t="s">
        <v>14</v>
      </c>
    </row>
    <row r="19" spans="1:1" x14ac:dyDescent="0.35">
      <c r="A19" s="5"/>
    </row>
    <row r="20" spans="1:1" x14ac:dyDescent="0.35">
      <c r="A20" s="4" t="s">
        <v>15</v>
      </c>
    </row>
    <row r="21" spans="1:1" x14ac:dyDescent="0.35">
      <c r="A21" s="5" t="s">
        <v>16</v>
      </c>
    </row>
    <row r="22" spans="1:1" x14ac:dyDescent="0.35">
      <c r="A22" s="9" t="s">
        <v>17</v>
      </c>
    </row>
  </sheetData>
  <hyperlinks>
    <hyperlink ref="A22" r:id="rId1" xr:uid="{00000000-0004-0000-00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8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6328125" defaultRowHeight="14.5" x14ac:dyDescent="0.35"/>
  <cols>
    <col min="1" max="1" width="40" customWidth="1"/>
    <col min="2" max="6" width="18" customWidth="1"/>
  </cols>
  <sheetData>
    <row r="1" spans="1:6" ht="18" x14ac:dyDescent="0.4">
      <c r="A1" s="1" t="s">
        <v>18</v>
      </c>
      <c r="B1" s="3"/>
      <c r="C1" s="3"/>
      <c r="D1" s="3"/>
      <c r="E1" s="3"/>
      <c r="F1" s="3"/>
    </row>
    <row r="2" spans="1:6" x14ac:dyDescent="0.35">
      <c r="A2" s="2" t="s">
        <v>19</v>
      </c>
      <c r="B2" s="3"/>
      <c r="C2" s="3"/>
      <c r="D2" s="3"/>
      <c r="E2" s="3"/>
      <c r="F2" s="3"/>
    </row>
    <row r="3" spans="1:6" x14ac:dyDescent="0.35">
      <c r="A3" s="3"/>
      <c r="B3" s="3"/>
      <c r="C3" s="3"/>
      <c r="D3" s="3"/>
      <c r="E3" s="3"/>
      <c r="F3" s="3"/>
    </row>
    <row r="4" spans="1:6" x14ac:dyDescent="0.35">
      <c r="A4" s="10" t="s">
        <v>20</v>
      </c>
      <c r="B4" s="11" t="s">
        <v>21</v>
      </c>
      <c r="C4" s="3"/>
      <c r="D4" s="3"/>
      <c r="E4" s="3"/>
      <c r="F4" s="3"/>
    </row>
    <row r="5" spans="1:6" x14ac:dyDescent="0.35">
      <c r="A5" s="10" t="s">
        <v>22</v>
      </c>
      <c r="B5" s="11" t="s">
        <v>23</v>
      </c>
      <c r="C5" s="3"/>
      <c r="D5" s="3"/>
      <c r="E5" s="3"/>
      <c r="F5" s="3"/>
    </row>
    <row r="6" spans="1:6" x14ac:dyDescent="0.35">
      <c r="A6" s="10" t="s">
        <v>24</v>
      </c>
      <c r="B6" s="12" t="s">
        <v>25</v>
      </c>
      <c r="C6" s="3"/>
      <c r="D6" s="3"/>
      <c r="E6" s="3"/>
      <c r="F6" s="3"/>
    </row>
    <row r="7" spans="1:6" x14ac:dyDescent="0.35">
      <c r="A7" s="3"/>
      <c r="B7" s="3"/>
      <c r="C7" s="3"/>
      <c r="D7" s="3"/>
      <c r="E7" s="3"/>
      <c r="F7" s="3"/>
    </row>
    <row r="8" spans="1:6" x14ac:dyDescent="0.35">
      <c r="A8" s="13" t="s">
        <v>26</v>
      </c>
      <c r="B8" s="14" t="s">
        <v>27</v>
      </c>
      <c r="C8" s="14" t="s">
        <v>28</v>
      </c>
      <c r="D8" s="14" t="s">
        <v>29</v>
      </c>
      <c r="E8" s="3"/>
      <c r="F8" s="3"/>
    </row>
    <row r="9" spans="1:6" x14ac:dyDescent="0.35">
      <c r="A9" s="15" t="s">
        <v>25</v>
      </c>
      <c r="B9" s="16">
        <v>0</v>
      </c>
      <c r="C9" s="16">
        <v>0</v>
      </c>
      <c r="D9" s="16">
        <v>0</v>
      </c>
      <c r="E9" s="3"/>
      <c r="F9" s="2" t="s">
        <v>30</v>
      </c>
    </row>
    <row r="10" spans="1:6" x14ac:dyDescent="0.35">
      <c r="A10" s="15" t="s">
        <v>31</v>
      </c>
      <c r="B10" s="16">
        <v>-0.3</v>
      </c>
      <c r="C10" s="16">
        <v>-0.05</v>
      </c>
      <c r="D10" s="16">
        <v>0.05</v>
      </c>
      <c r="E10" s="3"/>
      <c r="F10" s="3"/>
    </row>
    <row r="11" spans="1:6" x14ac:dyDescent="0.35">
      <c r="A11" s="15" t="s">
        <v>32</v>
      </c>
      <c r="B11" s="16">
        <v>0.2</v>
      </c>
      <c r="C11" s="16">
        <v>0.03</v>
      </c>
      <c r="D11" s="16">
        <v>0</v>
      </c>
      <c r="E11" s="3"/>
      <c r="F11" s="3"/>
    </row>
    <row r="12" spans="1:6" x14ac:dyDescent="0.35">
      <c r="A12" s="10" t="s">
        <v>33</v>
      </c>
      <c r="B12" s="17">
        <f>INDEX(B9:B11,MATCH($B$6,$A$9:$A$11,0))</f>
        <v>0</v>
      </c>
      <c r="C12" s="17">
        <f>INDEX(C9:C11,MATCH($B$6,$A$9:$A$11,0))</f>
        <v>0</v>
      </c>
      <c r="D12" s="17">
        <f>INDEX(D9:D11,MATCH($B$6,$A$9:$A$11,0))</f>
        <v>0</v>
      </c>
      <c r="E12" s="3"/>
      <c r="F12" s="3"/>
    </row>
    <row r="13" spans="1:6" x14ac:dyDescent="0.35">
      <c r="A13" s="3"/>
      <c r="B13" s="3"/>
      <c r="C13" s="3"/>
      <c r="D13" s="3"/>
      <c r="E13" s="3"/>
      <c r="F13" s="3"/>
    </row>
    <row r="14" spans="1:6" ht="26.5" x14ac:dyDescent="0.35">
      <c r="A14" s="13" t="s">
        <v>34</v>
      </c>
      <c r="B14" s="14" t="s">
        <v>35</v>
      </c>
      <c r="C14" s="14" t="s">
        <v>36</v>
      </c>
      <c r="D14" s="14" t="s">
        <v>37</v>
      </c>
      <c r="E14" s="14" t="s">
        <v>38</v>
      </c>
      <c r="F14" s="14" t="s">
        <v>39</v>
      </c>
    </row>
    <row r="15" spans="1:6" x14ac:dyDescent="0.35">
      <c r="A15" s="11" t="s">
        <v>40</v>
      </c>
      <c r="B15" s="18">
        <v>40</v>
      </c>
      <c r="C15" s="19">
        <v>2</v>
      </c>
      <c r="D15" s="16">
        <v>0.02</v>
      </c>
      <c r="E15" s="20">
        <v>2500</v>
      </c>
      <c r="F15" s="16">
        <v>0.25</v>
      </c>
    </row>
    <row r="16" spans="1:6" x14ac:dyDescent="0.35">
      <c r="A16" s="11" t="s">
        <v>41</v>
      </c>
      <c r="B16" s="18">
        <v>8</v>
      </c>
      <c r="C16" s="19">
        <v>1</v>
      </c>
      <c r="D16" s="16">
        <v>0.15</v>
      </c>
      <c r="E16" s="20">
        <v>4500</v>
      </c>
      <c r="F16" s="16">
        <v>0.25</v>
      </c>
    </row>
    <row r="17" spans="1:6" x14ac:dyDescent="0.35">
      <c r="A17" s="11" t="s">
        <v>42</v>
      </c>
      <c r="B17" s="18">
        <v>0</v>
      </c>
      <c r="C17" s="19">
        <v>0</v>
      </c>
      <c r="D17" s="16">
        <v>0</v>
      </c>
      <c r="E17" s="20">
        <v>0</v>
      </c>
      <c r="F17" s="16">
        <v>0</v>
      </c>
    </row>
    <row r="18" spans="1:6" x14ac:dyDescent="0.35">
      <c r="A18" s="3"/>
      <c r="B18" s="3"/>
      <c r="C18" s="3"/>
      <c r="D18" s="3"/>
      <c r="E18" s="3"/>
      <c r="F18" s="3"/>
    </row>
    <row r="19" spans="1:6" x14ac:dyDescent="0.35">
      <c r="A19" s="3"/>
      <c r="B19" s="3"/>
      <c r="C19" s="3"/>
      <c r="D19" s="3"/>
      <c r="E19" s="3"/>
      <c r="F19" s="3"/>
    </row>
    <row r="20" spans="1:6" x14ac:dyDescent="0.35">
      <c r="A20" s="13" t="s">
        <v>43</v>
      </c>
      <c r="B20" s="14" t="s">
        <v>44</v>
      </c>
      <c r="C20" s="14" t="s">
        <v>45</v>
      </c>
      <c r="D20" s="14" t="s">
        <v>46</v>
      </c>
      <c r="E20" s="3"/>
      <c r="F20" s="3"/>
    </row>
    <row r="21" spans="1:6" x14ac:dyDescent="0.35">
      <c r="A21" s="11" t="s">
        <v>47</v>
      </c>
      <c r="B21" s="21">
        <v>180000</v>
      </c>
      <c r="C21" s="22">
        <v>1</v>
      </c>
      <c r="D21" s="18">
        <v>1</v>
      </c>
      <c r="E21" s="3"/>
      <c r="F21" s="3"/>
    </row>
    <row r="22" spans="1:6" x14ac:dyDescent="0.35">
      <c r="A22" s="11" t="s">
        <v>48</v>
      </c>
      <c r="B22" s="21">
        <v>95000</v>
      </c>
      <c r="C22" s="22">
        <v>1</v>
      </c>
      <c r="D22" s="18">
        <v>2</v>
      </c>
      <c r="E22" s="3"/>
      <c r="F22" s="3"/>
    </row>
    <row r="23" spans="1:6" x14ac:dyDescent="0.35">
      <c r="A23" s="11" t="s">
        <v>49</v>
      </c>
      <c r="B23" s="21">
        <v>68000</v>
      </c>
      <c r="C23" s="22">
        <v>1</v>
      </c>
      <c r="D23" s="18">
        <v>4</v>
      </c>
      <c r="E23" s="3"/>
      <c r="F23" s="3"/>
    </row>
    <row r="24" spans="1:6" x14ac:dyDescent="0.35">
      <c r="A24" s="11" t="s">
        <v>50</v>
      </c>
      <c r="B24" s="21">
        <v>68000</v>
      </c>
      <c r="C24" s="22">
        <v>4</v>
      </c>
      <c r="D24" s="18">
        <v>1</v>
      </c>
      <c r="E24" s="3"/>
      <c r="F24" s="3"/>
    </row>
    <row r="25" spans="1:6" x14ac:dyDescent="0.35">
      <c r="A25" s="11" t="s">
        <v>51</v>
      </c>
      <c r="B25" s="21">
        <v>85000</v>
      </c>
      <c r="C25" s="22">
        <v>7</v>
      </c>
      <c r="D25" s="18">
        <v>1</v>
      </c>
      <c r="E25" s="3"/>
      <c r="F25" s="3"/>
    </row>
    <row r="26" spans="1:6" x14ac:dyDescent="0.35">
      <c r="A26" s="11" t="s">
        <v>52</v>
      </c>
      <c r="B26" s="21">
        <v>0</v>
      </c>
      <c r="C26" s="22">
        <v>1</v>
      </c>
      <c r="D26" s="18">
        <v>0</v>
      </c>
      <c r="E26" s="3"/>
      <c r="F26" s="3"/>
    </row>
    <row r="27" spans="1:6" x14ac:dyDescent="0.35">
      <c r="A27" s="11" t="s">
        <v>53</v>
      </c>
      <c r="B27" s="21">
        <v>0</v>
      </c>
      <c r="C27" s="22">
        <v>1</v>
      </c>
      <c r="D27" s="18">
        <v>0</v>
      </c>
      <c r="E27" s="3"/>
      <c r="F27" s="3"/>
    </row>
    <row r="28" spans="1:6" x14ac:dyDescent="0.35">
      <c r="A28" s="11" t="s">
        <v>54</v>
      </c>
      <c r="B28" s="21">
        <v>0</v>
      </c>
      <c r="C28" s="22">
        <v>1</v>
      </c>
      <c r="D28" s="18">
        <v>0</v>
      </c>
      <c r="E28" s="3"/>
      <c r="F28" s="3"/>
    </row>
    <row r="29" spans="1:6" x14ac:dyDescent="0.35">
      <c r="A29" s="10" t="s">
        <v>55</v>
      </c>
      <c r="B29" s="23">
        <v>0.2</v>
      </c>
      <c r="C29" s="3"/>
      <c r="D29" s="3"/>
      <c r="E29" s="3"/>
      <c r="F29" s="3"/>
    </row>
    <row r="30" spans="1:6" x14ac:dyDescent="0.35">
      <c r="A30" s="3"/>
      <c r="B30" s="3"/>
      <c r="C30" s="3"/>
      <c r="D30" s="3"/>
      <c r="E30" s="3"/>
      <c r="F30" s="3"/>
    </row>
    <row r="31" spans="1:6" x14ac:dyDescent="0.35">
      <c r="A31" s="13" t="s">
        <v>56</v>
      </c>
      <c r="B31" s="14" t="s">
        <v>57</v>
      </c>
      <c r="C31" s="3"/>
      <c r="D31" s="3"/>
      <c r="E31" s="3"/>
      <c r="F31" s="3"/>
    </row>
    <row r="32" spans="1:6" x14ac:dyDescent="0.35">
      <c r="A32" s="11" t="s">
        <v>58</v>
      </c>
      <c r="B32" s="21">
        <v>6500</v>
      </c>
      <c r="C32" s="3"/>
      <c r="D32" s="3"/>
      <c r="E32" s="3"/>
      <c r="F32" s="3"/>
    </row>
    <row r="33" spans="1:6" x14ac:dyDescent="0.35">
      <c r="A33" s="11" t="s">
        <v>59</v>
      </c>
      <c r="B33" s="21">
        <v>3200</v>
      </c>
      <c r="C33" s="3"/>
      <c r="D33" s="3"/>
      <c r="E33" s="3"/>
      <c r="F33" s="3"/>
    </row>
    <row r="34" spans="1:6" x14ac:dyDescent="0.35">
      <c r="A34" s="11" t="s">
        <v>60</v>
      </c>
      <c r="B34" s="21">
        <v>1500</v>
      </c>
      <c r="C34" s="3"/>
      <c r="D34" s="3"/>
      <c r="E34" s="3"/>
      <c r="F34" s="3"/>
    </row>
    <row r="35" spans="1:6" x14ac:dyDescent="0.35">
      <c r="A35" s="11" t="s">
        <v>61</v>
      </c>
      <c r="B35" s="21">
        <v>4000</v>
      </c>
      <c r="C35" s="3"/>
      <c r="D35" s="3"/>
      <c r="E35" s="3"/>
      <c r="F35" s="3"/>
    </row>
    <row r="36" spans="1:6" x14ac:dyDescent="0.35">
      <c r="A36" s="11" t="s">
        <v>62</v>
      </c>
      <c r="B36" s="21">
        <v>2000</v>
      </c>
      <c r="C36" s="3"/>
      <c r="D36" s="3"/>
      <c r="E36" s="3"/>
      <c r="F36" s="3"/>
    </row>
    <row r="37" spans="1:6" x14ac:dyDescent="0.35">
      <c r="A37" s="11" t="s">
        <v>63</v>
      </c>
      <c r="B37" s="21">
        <v>1200</v>
      </c>
      <c r="C37" s="3"/>
      <c r="D37" s="3"/>
      <c r="E37" s="3"/>
      <c r="F37" s="3"/>
    </row>
    <row r="38" spans="1:6" x14ac:dyDescent="0.35">
      <c r="A38" s="11" t="s">
        <v>64</v>
      </c>
      <c r="B38" s="21">
        <v>800</v>
      </c>
      <c r="C38" s="3"/>
      <c r="D38" s="3"/>
      <c r="E38" s="3"/>
      <c r="F38" s="3"/>
    </row>
    <row r="39" spans="1:6" x14ac:dyDescent="0.35">
      <c r="A39" s="11" t="s">
        <v>65</v>
      </c>
      <c r="B39" s="21">
        <v>1000</v>
      </c>
      <c r="C39" s="3"/>
      <c r="D39" s="3"/>
      <c r="E39" s="3"/>
      <c r="F39" s="3"/>
    </row>
    <row r="40" spans="1:6" x14ac:dyDescent="0.35">
      <c r="A40" s="3"/>
      <c r="B40" s="3"/>
      <c r="C40" s="3"/>
      <c r="D40" s="3"/>
      <c r="E40" s="3"/>
      <c r="F40" s="3"/>
    </row>
    <row r="41" spans="1:6" x14ac:dyDescent="0.35">
      <c r="A41" s="13" t="s">
        <v>66</v>
      </c>
      <c r="B41" s="14" t="s">
        <v>67</v>
      </c>
      <c r="C41" s="3"/>
      <c r="D41" s="3"/>
      <c r="E41" s="3"/>
      <c r="F41" s="3"/>
    </row>
    <row r="42" spans="1:6" x14ac:dyDescent="0.35">
      <c r="A42" s="15" t="s">
        <v>68</v>
      </c>
      <c r="B42" s="20">
        <v>250000</v>
      </c>
      <c r="C42" s="3"/>
      <c r="D42" s="3"/>
      <c r="E42" s="3"/>
      <c r="F42" s="3"/>
    </row>
    <row r="43" spans="1:6" x14ac:dyDescent="0.35">
      <c r="A43" s="15" t="s">
        <v>69</v>
      </c>
      <c r="B43" s="21">
        <v>120000</v>
      </c>
      <c r="C43" s="3"/>
      <c r="D43" s="3"/>
      <c r="E43" s="3"/>
      <c r="F43" s="3"/>
    </row>
    <row r="44" spans="1:6" x14ac:dyDescent="0.35">
      <c r="A44" s="15" t="s">
        <v>70</v>
      </c>
      <c r="B44" s="23">
        <v>0.6</v>
      </c>
      <c r="C44" s="2" t="s">
        <v>71</v>
      </c>
      <c r="D44" s="3"/>
      <c r="E44" s="3"/>
      <c r="F44" s="3"/>
    </row>
    <row r="45" spans="1:6" x14ac:dyDescent="0.35">
      <c r="A45" s="15" t="s">
        <v>72</v>
      </c>
      <c r="B45" s="21">
        <v>200000</v>
      </c>
      <c r="C45" s="3"/>
      <c r="D45" s="3"/>
      <c r="E45" s="3"/>
      <c r="F45" s="3"/>
    </row>
    <row r="46" spans="1:6" x14ac:dyDescent="0.35">
      <c r="A46" s="15" t="s">
        <v>73</v>
      </c>
      <c r="B46" s="23">
        <v>8.5000000000000006E-2</v>
      </c>
      <c r="C46" s="2" t="s">
        <v>74</v>
      </c>
      <c r="D46" s="3"/>
      <c r="E46" s="3"/>
      <c r="F46" s="3"/>
    </row>
    <row r="47" spans="1:6" x14ac:dyDescent="0.35">
      <c r="A47" s="15" t="s">
        <v>75</v>
      </c>
      <c r="B47" s="21">
        <v>4000</v>
      </c>
      <c r="C47" s="3"/>
      <c r="D47" s="3"/>
      <c r="E47" s="3"/>
      <c r="F47" s="3"/>
    </row>
    <row r="48" spans="1:6" x14ac:dyDescent="0.35">
      <c r="A48" s="15" t="s">
        <v>76</v>
      </c>
      <c r="B48" s="21">
        <v>100000</v>
      </c>
      <c r="C48" s="3"/>
      <c r="D48" s="3"/>
      <c r="E48" s="3"/>
      <c r="F48" s="3"/>
    </row>
  </sheetData>
  <dataValidations count="2">
    <dataValidation type="list" sqref="B6" xr:uid="{00000000-0002-0000-0100-000000000000}">
      <formula1>"Base,Downside,Upside"</formula1>
      <formula2>0</formula2>
    </dataValidation>
    <dataValidation type="whole" sqref="C21:C28" xr:uid="{00000000-0002-0000-0100-000001000000}">
      <formula1>1</formula1>
      <formula2>12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6328125" defaultRowHeight="14.5" x14ac:dyDescent="0.35"/>
  <cols>
    <col min="1" max="1" width="34" customWidth="1"/>
    <col min="2" max="14" width="12" customWidth="1"/>
  </cols>
  <sheetData>
    <row r="1" spans="1:14" ht="18" x14ac:dyDescent="0.4">
      <c r="A1" s="1" t="s">
        <v>77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35">
      <c r="A2" s="2" t="s">
        <v>78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35">
      <c r="A3" s="24" t="str">
        <f>"Scenario: "&amp;Assumptions!B6&amp;"  |  "&amp;Assumptions!B4&amp;"  |  FY"&amp;Assumptions!B5</f>
        <v>Scenario: Base  |  Sample Company LLC  |  FY2027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35">
      <c r="A5" s="13" t="s">
        <v>79</v>
      </c>
      <c r="B5" s="14" t="s">
        <v>80</v>
      </c>
      <c r="C5" s="14" t="s">
        <v>81</v>
      </c>
      <c r="D5" s="14" t="s">
        <v>82</v>
      </c>
      <c r="E5" s="14" t="s">
        <v>83</v>
      </c>
      <c r="F5" s="14" t="s">
        <v>84</v>
      </c>
      <c r="G5" s="14" t="s">
        <v>85</v>
      </c>
      <c r="H5" s="14" t="s">
        <v>86</v>
      </c>
      <c r="I5" s="14" t="s">
        <v>87</v>
      </c>
      <c r="J5" s="14" t="s">
        <v>88</v>
      </c>
      <c r="K5" s="14" t="s">
        <v>89</v>
      </c>
      <c r="L5" s="14" t="s">
        <v>90</v>
      </c>
      <c r="M5" s="14" t="s">
        <v>91</v>
      </c>
      <c r="N5" s="14" t="s">
        <v>92</v>
      </c>
    </row>
    <row r="6" spans="1:14" x14ac:dyDescent="0.35">
      <c r="A6" s="25" t="s">
        <v>93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x14ac:dyDescent="0.35">
      <c r="A7" s="27" t="str">
        <f>Assumptions!A15</f>
        <v>Monthly accounting clients</v>
      </c>
      <c r="B7" s="28">
        <f>Assumptions!$B$15*(1-Assumptions!$D$15)+Assumptions!$C$15*(1+Assumptions!$B$12)</f>
        <v>41.2</v>
      </c>
      <c r="C7" s="28">
        <f>B7*(1-Assumptions!$D$15)+Assumptions!$C$15*(1+Assumptions!$B$12)</f>
        <v>42.376000000000005</v>
      </c>
      <c r="D7" s="28">
        <f>C7*(1-Assumptions!$D$15)+Assumptions!$C$15*(1+Assumptions!$B$12)</f>
        <v>43.528480000000002</v>
      </c>
      <c r="E7" s="28">
        <f>D7*(1-Assumptions!$D$15)+Assumptions!$C$15*(1+Assumptions!$B$12)</f>
        <v>44.657910399999999</v>
      </c>
      <c r="F7" s="28">
        <f>E7*(1-Assumptions!$D$15)+Assumptions!$C$15*(1+Assumptions!$B$12)</f>
        <v>45.764752191999996</v>
      </c>
      <c r="G7" s="28">
        <f>F7*(1-Assumptions!$D$15)+Assumptions!$C$15*(1+Assumptions!$B$12)</f>
        <v>46.849457148159992</v>
      </c>
      <c r="H7" s="28">
        <f>G7*(1-Assumptions!$D$15)+Assumptions!$C$15*(1+Assumptions!$B$12)</f>
        <v>47.912468005196793</v>
      </c>
      <c r="I7" s="28">
        <f>H7*(1-Assumptions!$D$15)+Assumptions!$C$15*(1+Assumptions!$B$12)</f>
        <v>48.954218645092858</v>
      </c>
      <c r="J7" s="28">
        <f>I7*(1-Assumptions!$D$15)+Assumptions!$C$15*(1+Assumptions!$B$12)</f>
        <v>49.975134272190999</v>
      </c>
      <c r="K7" s="28">
        <f>J7*(1-Assumptions!$D$15)+Assumptions!$C$15*(1+Assumptions!$B$12)</f>
        <v>50.975631586747177</v>
      </c>
      <c r="L7" s="28">
        <f>K7*(1-Assumptions!$D$15)+Assumptions!$C$15*(1+Assumptions!$B$12)</f>
        <v>51.956118955012229</v>
      </c>
      <c r="M7" s="28">
        <f>L7*(1-Assumptions!$D$15)+Assumptions!$C$15*(1+Assumptions!$B$12)</f>
        <v>52.91699657591198</v>
      </c>
      <c r="N7" s="3"/>
    </row>
    <row r="8" spans="1:14" x14ac:dyDescent="0.35">
      <c r="A8" s="27" t="str">
        <f>Assumptions!A16</f>
        <v>Advisory projects</v>
      </c>
      <c r="B8" s="28">
        <f>Assumptions!$B$16*(1-Assumptions!$D$16)+Assumptions!$C$16*(1+Assumptions!$B$12)</f>
        <v>7.8</v>
      </c>
      <c r="C8" s="28">
        <f>B8*(1-Assumptions!$D$16)+Assumptions!$C$16*(1+Assumptions!$B$12)</f>
        <v>7.63</v>
      </c>
      <c r="D8" s="28">
        <f>C8*(1-Assumptions!$D$16)+Assumptions!$C$16*(1+Assumptions!$B$12)</f>
        <v>7.4855</v>
      </c>
      <c r="E8" s="28">
        <f>D8*(1-Assumptions!$D$16)+Assumptions!$C$16*(1+Assumptions!$B$12)</f>
        <v>7.3626750000000003</v>
      </c>
      <c r="F8" s="28">
        <f>E8*(1-Assumptions!$D$16)+Assumptions!$C$16*(1+Assumptions!$B$12)</f>
        <v>7.2582737499999999</v>
      </c>
      <c r="G8" s="28">
        <f>F8*(1-Assumptions!$D$16)+Assumptions!$C$16*(1+Assumptions!$B$12)</f>
        <v>7.1695326874999994</v>
      </c>
      <c r="H8" s="28">
        <f>G8*(1-Assumptions!$D$16)+Assumptions!$C$16*(1+Assumptions!$B$12)</f>
        <v>7.0941027843749991</v>
      </c>
      <c r="I8" s="28">
        <f>H8*(1-Assumptions!$D$16)+Assumptions!$C$16*(1+Assumptions!$B$12)</f>
        <v>7.0299873667187489</v>
      </c>
      <c r="J8" s="28">
        <f>I8*(1-Assumptions!$D$16)+Assumptions!$C$16*(1+Assumptions!$B$12)</f>
        <v>6.9754892617109361</v>
      </c>
      <c r="K8" s="28">
        <f>J8*(1-Assumptions!$D$16)+Assumptions!$C$16*(1+Assumptions!$B$12)</f>
        <v>6.9291658724542957</v>
      </c>
      <c r="L8" s="28">
        <f>K8*(1-Assumptions!$D$16)+Assumptions!$C$16*(1+Assumptions!$B$12)</f>
        <v>6.8897909915861515</v>
      </c>
      <c r="M8" s="28">
        <f>L8*(1-Assumptions!$D$16)+Assumptions!$C$16*(1+Assumptions!$B$12)</f>
        <v>6.8563223428482285</v>
      </c>
      <c r="N8" s="3"/>
    </row>
    <row r="9" spans="1:14" x14ac:dyDescent="0.35">
      <c r="A9" s="27" t="str">
        <f>Assumptions!A17</f>
        <v>Revenue stream 3</v>
      </c>
      <c r="B9" s="28">
        <f>Assumptions!$B$17*(1-Assumptions!$D$17)+Assumptions!$C$17*(1+Assumptions!$B$12)</f>
        <v>0</v>
      </c>
      <c r="C9" s="28">
        <f>B9*(1-Assumptions!$D$17)+Assumptions!$C$17*(1+Assumptions!$B$12)</f>
        <v>0</v>
      </c>
      <c r="D9" s="28">
        <f>C9*(1-Assumptions!$D$17)+Assumptions!$C$17*(1+Assumptions!$B$12)</f>
        <v>0</v>
      </c>
      <c r="E9" s="28">
        <f>D9*(1-Assumptions!$D$17)+Assumptions!$C$17*(1+Assumptions!$B$12)</f>
        <v>0</v>
      </c>
      <c r="F9" s="28">
        <f>E9*(1-Assumptions!$D$17)+Assumptions!$C$17*(1+Assumptions!$B$12)</f>
        <v>0</v>
      </c>
      <c r="G9" s="28">
        <f>F9*(1-Assumptions!$D$17)+Assumptions!$C$17*(1+Assumptions!$B$12)</f>
        <v>0</v>
      </c>
      <c r="H9" s="28">
        <f>G9*(1-Assumptions!$D$17)+Assumptions!$C$17*(1+Assumptions!$B$12)</f>
        <v>0</v>
      </c>
      <c r="I9" s="28">
        <f>H9*(1-Assumptions!$D$17)+Assumptions!$C$17*(1+Assumptions!$B$12)</f>
        <v>0</v>
      </c>
      <c r="J9" s="28">
        <f>I9*(1-Assumptions!$D$17)+Assumptions!$C$17*(1+Assumptions!$B$12)</f>
        <v>0</v>
      </c>
      <c r="K9" s="28">
        <f>J9*(1-Assumptions!$D$17)+Assumptions!$C$17*(1+Assumptions!$B$12)</f>
        <v>0</v>
      </c>
      <c r="L9" s="28">
        <f>K9*(1-Assumptions!$D$17)+Assumptions!$C$17*(1+Assumptions!$B$12)</f>
        <v>0</v>
      </c>
      <c r="M9" s="28">
        <f>L9*(1-Assumptions!$D$17)+Assumptions!$C$17*(1+Assumptions!$B$12)</f>
        <v>0</v>
      </c>
      <c r="N9" s="3"/>
    </row>
    <row r="10" spans="1:14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35">
      <c r="A11" s="25" t="s">
        <v>94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  <row r="12" spans="1:14" x14ac:dyDescent="0.35">
      <c r="A12" s="27" t="str">
        <f>Assumptions!A15</f>
        <v>Monthly accounting clients</v>
      </c>
      <c r="B12" s="29">
        <f>B7*Assumptions!$E$15*(1+Assumptions!$C$12)</f>
        <v>103000</v>
      </c>
      <c r="C12" s="29">
        <f>C7*Assumptions!$E$15*(1+Assumptions!$C$12)</f>
        <v>105940.00000000001</v>
      </c>
      <c r="D12" s="29">
        <f>D7*Assumptions!$E$15*(1+Assumptions!$C$12)</f>
        <v>108821.20000000001</v>
      </c>
      <c r="E12" s="29">
        <f>E7*Assumptions!$E$15*(1+Assumptions!$C$12)</f>
        <v>111644.776</v>
      </c>
      <c r="F12" s="29">
        <f>F7*Assumptions!$E$15*(1+Assumptions!$C$12)</f>
        <v>114411.88047999999</v>
      </c>
      <c r="G12" s="29">
        <f>G7*Assumptions!$E$15*(1+Assumptions!$C$12)</f>
        <v>117123.64287039998</v>
      </c>
      <c r="H12" s="29">
        <f>H7*Assumptions!$E$15*(1+Assumptions!$C$12)</f>
        <v>119781.17001299198</v>
      </c>
      <c r="I12" s="29">
        <f>I7*Assumptions!$E$15*(1+Assumptions!$C$12)</f>
        <v>122385.54661273214</v>
      </c>
      <c r="J12" s="29">
        <f>J7*Assumptions!$E$15*(1+Assumptions!$C$12)</f>
        <v>124937.8356804775</v>
      </c>
      <c r="K12" s="29">
        <f>K7*Assumptions!$E$15*(1+Assumptions!$C$12)</f>
        <v>127439.07896686794</v>
      </c>
      <c r="L12" s="29">
        <f>L7*Assumptions!$E$15*(1+Assumptions!$C$12)</f>
        <v>129890.29738753058</v>
      </c>
      <c r="M12" s="29">
        <f>M7*Assumptions!$E$15*(1+Assumptions!$C$12)</f>
        <v>132292.49143977996</v>
      </c>
      <c r="N12" s="30">
        <f>SUM(B12:M12)</f>
        <v>1417667.9194507801</v>
      </c>
    </row>
    <row r="13" spans="1:14" x14ac:dyDescent="0.35">
      <c r="A13" s="27" t="str">
        <f>Assumptions!A16</f>
        <v>Advisory projects</v>
      </c>
      <c r="B13" s="29">
        <f>B8*Assumptions!$E$16*(1+Assumptions!$C$12)</f>
        <v>35100</v>
      </c>
      <c r="C13" s="29">
        <f>C8*Assumptions!$E$16*(1+Assumptions!$C$12)</f>
        <v>34335</v>
      </c>
      <c r="D13" s="29">
        <f>D8*Assumptions!$E$16*(1+Assumptions!$C$12)</f>
        <v>33684.75</v>
      </c>
      <c r="E13" s="29">
        <f>E8*Assumptions!$E$16*(1+Assumptions!$C$12)</f>
        <v>33132.037499999999</v>
      </c>
      <c r="F13" s="29">
        <f>F8*Assumptions!$E$16*(1+Assumptions!$C$12)</f>
        <v>32662.231874999998</v>
      </c>
      <c r="G13" s="29">
        <f>G8*Assumptions!$E$16*(1+Assumptions!$C$12)</f>
        <v>32262.897093749998</v>
      </c>
      <c r="H13" s="29">
        <f>H8*Assumptions!$E$16*(1+Assumptions!$C$12)</f>
        <v>31923.462529687495</v>
      </c>
      <c r="I13" s="29">
        <f>I8*Assumptions!$E$16*(1+Assumptions!$C$12)</f>
        <v>31634.943150234369</v>
      </c>
      <c r="J13" s="29">
        <f>J8*Assumptions!$E$16*(1+Assumptions!$C$12)</f>
        <v>31389.701677699213</v>
      </c>
      <c r="K13" s="29">
        <f>K8*Assumptions!$E$16*(1+Assumptions!$C$12)</f>
        <v>31181.24642604433</v>
      </c>
      <c r="L13" s="29">
        <f>L8*Assumptions!$E$16*(1+Assumptions!$C$12)</f>
        <v>31004.05946213768</v>
      </c>
      <c r="M13" s="29">
        <f>M8*Assumptions!$E$16*(1+Assumptions!$C$12)</f>
        <v>30853.450542817027</v>
      </c>
      <c r="N13" s="30">
        <f>SUM(B13:M13)</f>
        <v>389163.78025737009</v>
      </c>
    </row>
    <row r="14" spans="1:14" x14ac:dyDescent="0.35">
      <c r="A14" s="27" t="str">
        <f>Assumptions!A17</f>
        <v>Revenue stream 3</v>
      </c>
      <c r="B14" s="29">
        <f>B9*Assumptions!$E$17*(1+Assumptions!$C$12)</f>
        <v>0</v>
      </c>
      <c r="C14" s="29">
        <f>C9*Assumptions!$E$17*(1+Assumptions!$C$12)</f>
        <v>0</v>
      </c>
      <c r="D14" s="29">
        <f>D9*Assumptions!$E$17*(1+Assumptions!$C$12)</f>
        <v>0</v>
      </c>
      <c r="E14" s="29">
        <f>E9*Assumptions!$E$17*(1+Assumptions!$C$12)</f>
        <v>0</v>
      </c>
      <c r="F14" s="29">
        <f>F9*Assumptions!$E$17*(1+Assumptions!$C$12)</f>
        <v>0</v>
      </c>
      <c r="G14" s="29">
        <f>G9*Assumptions!$E$17*(1+Assumptions!$C$12)</f>
        <v>0</v>
      </c>
      <c r="H14" s="29">
        <f>H9*Assumptions!$E$17*(1+Assumptions!$C$12)</f>
        <v>0</v>
      </c>
      <c r="I14" s="29">
        <f>I9*Assumptions!$E$17*(1+Assumptions!$C$12)</f>
        <v>0</v>
      </c>
      <c r="J14" s="29">
        <f>J9*Assumptions!$E$17*(1+Assumptions!$C$12)</f>
        <v>0</v>
      </c>
      <c r="K14" s="29">
        <f>K9*Assumptions!$E$17*(1+Assumptions!$C$12)</f>
        <v>0</v>
      </c>
      <c r="L14" s="29">
        <f>L9*Assumptions!$E$17*(1+Assumptions!$C$12)</f>
        <v>0</v>
      </c>
      <c r="M14" s="29">
        <f>M9*Assumptions!$E$17*(1+Assumptions!$C$12)</f>
        <v>0</v>
      </c>
      <c r="N14" s="30">
        <f>SUM(B14:M14)</f>
        <v>0</v>
      </c>
    </row>
    <row r="15" spans="1:14" x14ac:dyDescent="0.35">
      <c r="A15" s="10" t="s">
        <v>95</v>
      </c>
      <c r="B15" s="31">
        <f t="shared" ref="B15:M15" si="0">SUM(B12:B14)</f>
        <v>138100</v>
      </c>
      <c r="C15" s="31">
        <f t="shared" si="0"/>
        <v>140275</v>
      </c>
      <c r="D15" s="31">
        <f t="shared" si="0"/>
        <v>142505.95000000001</v>
      </c>
      <c r="E15" s="31">
        <f t="shared" si="0"/>
        <v>144776.81349999999</v>
      </c>
      <c r="F15" s="31">
        <f t="shared" si="0"/>
        <v>147074.11235499999</v>
      </c>
      <c r="G15" s="31">
        <f t="shared" si="0"/>
        <v>149386.53996415</v>
      </c>
      <c r="H15" s="31">
        <f t="shared" si="0"/>
        <v>151704.63254267946</v>
      </c>
      <c r="I15" s="31">
        <f t="shared" si="0"/>
        <v>154020.48976296652</v>
      </c>
      <c r="J15" s="31">
        <f t="shared" si="0"/>
        <v>156327.53735817672</v>
      </c>
      <c r="K15" s="31">
        <f t="shared" si="0"/>
        <v>158620.32539291226</v>
      </c>
      <c r="L15" s="31">
        <f t="shared" si="0"/>
        <v>160894.35684966826</v>
      </c>
      <c r="M15" s="31">
        <f t="shared" si="0"/>
        <v>163145.941982597</v>
      </c>
      <c r="N15" s="31">
        <f>SUM(B15:M15)</f>
        <v>1806831.6997081502</v>
      </c>
    </row>
    <row r="16" spans="1:14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35">
      <c r="A17" s="25" t="s">
        <v>96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spans="1:14" x14ac:dyDescent="0.35">
      <c r="A18" s="27" t="str">
        <f>Assumptions!A15</f>
        <v>Monthly accounting clients</v>
      </c>
      <c r="B18" s="29">
        <f>B12*Assumptions!$F$15*(1+Assumptions!$D$12)</f>
        <v>25750</v>
      </c>
      <c r="C18" s="29">
        <f>C12*Assumptions!$F$15*(1+Assumptions!$D$12)</f>
        <v>26485.000000000004</v>
      </c>
      <c r="D18" s="29">
        <f>D12*Assumptions!$F$15*(1+Assumptions!$D$12)</f>
        <v>27205.300000000003</v>
      </c>
      <c r="E18" s="29">
        <f>E12*Assumptions!$F$15*(1+Assumptions!$D$12)</f>
        <v>27911.194</v>
      </c>
      <c r="F18" s="29">
        <f>F12*Assumptions!$F$15*(1+Assumptions!$D$12)</f>
        <v>28602.970119999998</v>
      </c>
      <c r="G18" s="29">
        <f>G12*Assumptions!$F$15*(1+Assumptions!$D$12)</f>
        <v>29280.910717599996</v>
      </c>
      <c r="H18" s="29">
        <f>H12*Assumptions!$F$15*(1+Assumptions!$D$12)</f>
        <v>29945.292503247994</v>
      </c>
      <c r="I18" s="29">
        <f>I12*Assumptions!$F$15*(1+Assumptions!$D$12)</f>
        <v>30596.386653183035</v>
      </c>
      <c r="J18" s="29">
        <f>J12*Assumptions!$F$15*(1+Assumptions!$D$12)</f>
        <v>31234.458920119374</v>
      </c>
      <c r="K18" s="29">
        <f>K12*Assumptions!$F$15*(1+Assumptions!$D$12)</f>
        <v>31859.769741716984</v>
      </c>
      <c r="L18" s="29">
        <f>L12*Assumptions!$F$15*(1+Assumptions!$D$12)</f>
        <v>32472.574346882644</v>
      </c>
      <c r="M18" s="29">
        <f>M12*Assumptions!$F$15*(1+Assumptions!$D$12)</f>
        <v>33073.12285994499</v>
      </c>
      <c r="N18" s="30">
        <f>SUM(B18:M18)</f>
        <v>354416.97986269504</v>
      </c>
    </row>
    <row r="19" spans="1:14" x14ac:dyDescent="0.35">
      <c r="A19" s="27" t="str">
        <f>Assumptions!A16</f>
        <v>Advisory projects</v>
      </c>
      <c r="B19" s="29">
        <f>B13*Assumptions!$F$16*(1+Assumptions!$D$12)</f>
        <v>8775</v>
      </c>
      <c r="C19" s="29">
        <f>C13*Assumptions!$F$16*(1+Assumptions!$D$12)</f>
        <v>8583.75</v>
      </c>
      <c r="D19" s="29">
        <f>D13*Assumptions!$F$16*(1+Assumptions!$D$12)</f>
        <v>8421.1875</v>
      </c>
      <c r="E19" s="29">
        <f>E13*Assumptions!$F$16*(1+Assumptions!$D$12)</f>
        <v>8283.0093749999996</v>
      </c>
      <c r="F19" s="29">
        <f>F13*Assumptions!$F$16*(1+Assumptions!$D$12)</f>
        <v>8165.5579687499994</v>
      </c>
      <c r="G19" s="29">
        <f>G13*Assumptions!$F$16*(1+Assumptions!$D$12)</f>
        <v>8065.7242734374995</v>
      </c>
      <c r="H19" s="29">
        <f>H13*Assumptions!$F$16*(1+Assumptions!$D$12)</f>
        <v>7980.8656324218737</v>
      </c>
      <c r="I19" s="29">
        <f>I13*Assumptions!$F$16*(1+Assumptions!$D$12)</f>
        <v>7908.7357875585922</v>
      </c>
      <c r="J19" s="29">
        <f>J13*Assumptions!$F$16*(1+Assumptions!$D$12)</f>
        <v>7847.4254194248033</v>
      </c>
      <c r="K19" s="29">
        <f>K13*Assumptions!$F$16*(1+Assumptions!$D$12)</f>
        <v>7795.3116065110826</v>
      </c>
      <c r="L19" s="29">
        <f>L13*Assumptions!$F$16*(1+Assumptions!$D$12)</f>
        <v>7751.0148655344201</v>
      </c>
      <c r="M19" s="29">
        <f>M13*Assumptions!$F$16*(1+Assumptions!$D$12)</f>
        <v>7713.3626357042567</v>
      </c>
      <c r="N19" s="30">
        <f>SUM(B19:M19)</f>
        <v>97290.945064342523</v>
      </c>
    </row>
    <row r="20" spans="1:14" x14ac:dyDescent="0.35">
      <c r="A20" s="27" t="str">
        <f>Assumptions!A17</f>
        <v>Revenue stream 3</v>
      </c>
      <c r="B20" s="29">
        <f>B14*Assumptions!$F$17*(1+Assumptions!$D$12)</f>
        <v>0</v>
      </c>
      <c r="C20" s="29">
        <f>C14*Assumptions!$F$17*(1+Assumptions!$D$12)</f>
        <v>0</v>
      </c>
      <c r="D20" s="29">
        <f>D14*Assumptions!$F$17*(1+Assumptions!$D$12)</f>
        <v>0</v>
      </c>
      <c r="E20" s="29">
        <f>E14*Assumptions!$F$17*(1+Assumptions!$D$12)</f>
        <v>0</v>
      </c>
      <c r="F20" s="29">
        <f>F14*Assumptions!$F$17*(1+Assumptions!$D$12)</f>
        <v>0</v>
      </c>
      <c r="G20" s="29">
        <f>G14*Assumptions!$F$17*(1+Assumptions!$D$12)</f>
        <v>0</v>
      </c>
      <c r="H20" s="29">
        <f>H14*Assumptions!$F$17*(1+Assumptions!$D$12)</f>
        <v>0</v>
      </c>
      <c r="I20" s="29">
        <f>I14*Assumptions!$F$17*(1+Assumptions!$D$12)</f>
        <v>0</v>
      </c>
      <c r="J20" s="29">
        <f>J14*Assumptions!$F$17*(1+Assumptions!$D$12)</f>
        <v>0</v>
      </c>
      <c r="K20" s="29">
        <f>K14*Assumptions!$F$17*(1+Assumptions!$D$12)</f>
        <v>0</v>
      </c>
      <c r="L20" s="29">
        <f>L14*Assumptions!$F$17*(1+Assumptions!$D$12)</f>
        <v>0</v>
      </c>
      <c r="M20" s="29">
        <f>M14*Assumptions!$F$17*(1+Assumptions!$D$12)</f>
        <v>0</v>
      </c>
      <c r="N20" s="30">
        <f>SUM(B20:M20)</f>
        <v>0</v>
      </c>
    </row>
    <row r="21" spans="1:14" x14ac:dyDescent="0.35">
      <c r="A21" s="10" t="s">
        <v>97</v>
      </c>
      <c r="B21" s="31">
        <f t="shared" ref="B21:M21" si="1">SUM(B18:B20)</f>
        <v>34525</v>
      </c>
      <c r="C21" s="31">
        <f t="shared" si="1"/>
        <v>35068.75</v>
      </c>
      <c r="D21" s="31">
        <f t="shared" si="1"/>
        <v>35626.487500000003</v>
      </c>
      <c r="E21" s="31">
        <f t="shared" si="1"/>
        <v>36194.203374999997</v>
      </c>
      <c r="F21" s="31">
        <f t="shared" si="1"/>
        <v>36768.528088749998</v>
      </c>
      <c r="G21" s="31">
        <f t="shared" si="1"/>
        <v>37346.634991037499</v>
      </c>
      <c r="H21" s="31">
        <f t="shared" si="1"/>
        <v>37926.158135669866</v>
      </c>
      <c r="I21" s="31">
        <f t="shared" si="1"/>
        <v>38505.12244074163</v>
      </c>
      <c r="J21" s="31">
        <f t="shared" si="1"/>
        <v>39081.88433954418</v>
      </c>
      <c r="K21" s="31">
        <f t="shared" si="1"/>
        <v>39655.081348228065</v>
      </c>
      <c r="L21" s="31">
        <f t="shared" si="1"/>
        <v>40223.589212417064</v>
      </c>
      <c r="M21" s="31">
        <f t="shared" si="1"/>
        <v>40786.485495649249</v>
      </c>
      <c r="N21" s="30">
        <f>SUM(B21:M21)</f>
        <v>451707.92492703756</v>
      </c>
    </row>
    <row r="22" spans="1:14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35">
      <c r="A23" s="10" t="s">
        <v>98</v>
      </c>
      <c r="B23" s="30">
        <f t="shared" ref="B23:N23" si="2">B15-B21</f>
        <v>103575</v>
      </c>
      <c r="C23" s="30">
        <f t="shared" si="2"/>
        <v>105206.25</v>
      </c>
      <c r="D23" s="30">
        <f t="shared" si="2"/>
        <v>106879.46250000001</v>
      </c>
      <c r="E23" s="30">
        <f t="shared" si="2"/>
        <v>108582.61012499999</v>
      </c>
      <c r="F23" s="30">
        <f t="shared" si="2"/>
        <v>110305.58426624999</v>
      </c>
      <c r="G23" s="30">
        <f t="shared" si="2"/>
        <v>112039.9049731125</v>
      </c>
      <c r="H23" s="30">
        <f t="shared" si="2"/>
        <v>113778.47440700961</v>
      </c>
      <c r="I23" s="30">
        <f t="shared" si="2"/>
        <v>115515.36732222489</v>
      </c>
      <c r="J23" s="30">
        <f t="shared" si="2"/>
        <v>117245.65301863254</v>
      </c>
      <c r="K23" s="30">
        <f t="shared" si="2"/>
        <v>118965.24404468419</v>
      </c>
      <c r="L23" s="30">
        <f t="shared" si="2"/>
        <v>120670.76763725119</v>
      </c>
      <c r="M23" s="30">
        <f t="shared" si="2"/>
        <v>122359.45648694775</v>
      </c>
      <c r="N23" s="30">
        <f t="shared" si="2"/>
        <v>1355123.7747811126</v>
      </c>
    </row>
    <row r="24" spans="1:14" x14ac:dyDescent="0.35">
      <c r="A24" s="32" t="s">
        <v>99</v>
      </c>
      <c r="B24" s="33">
        <f t="shared" ref="B24:N24" si="3">IF(B15=0,0,B23/B15)</f>
        <v>0.75</v>
      </c>
      <c r="C24" s="33">
        <f t="shared" si="3"/>
        <v>0.75</v>
      </c>
      <c r="D24" s="33">
        <f t="shared" si="3"/>
        <v>0.75</v>
      </c>
      <c r="E24" s="33">
        <f t="shared" si="3"/>
        <v>0.75</v>
      </c>
      <c r="F24" s="33">
        <f t="shared" si="3"/>
        <v>0.75</v>
      </c>
      <c r="G24" s="33">
        <f t="shared" si="3"/>
        <v>0.75</v>
      </c>
      <c r="H24" s="33">
        <f t="shared" si="3"/>
        <v>0.75</v>
      </c>
      <c r="I24" s="33">
        <f t="shared" si="3"/>
        <v>0.75</v>
      </c>
      <c r="J24" s="33">
        <f t="shared" si="3"/>
        <v>0.75</v>
      </c>
      <c r="K24" s="33">
        <f t="shared" si="3"/>
        <v>0.75</v>
      </c>
      <c r="L24" s="33">
        <f t="shared" si="3"/>
        <v>0.75</v>
      </c>
      <c r="M24" s="33">
        <f t="shared" si="3"/>
        <v>0.75</v>
      </c>
      <c r="N24" s="33">
        <f t="shared" si="3"/>
        <v>0.74999999999999989</v>
      </c>
    </row>
    <row r="25" spans="1:14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35">
      <c r="A26" s="25" t="s">
        <v>100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 x14ac:dyDescent="0.35">
      <c r="A27" s="27" t="str">
        <f>Assumptions!A21</f>
        <v>Owner / CEO</v>
      </c>
      <c r="B27" s="29">
        <f>IF(1&gt;=Assumptions!$C$21,Assumptions!$B$21/12*Assumptions!$D$21,0)</f>
        <v>15000</v>
      </c>
      <c r="C27" s="29">
        <f>IF(2&gt;=Assumptions!$C$21,Assumptions!$B$21/12*Assumptions!$D$21,0)</f>
        <v>15000</v>
      </c>
      <c r="D27" s="29">
        <f>IF(3&gt;=Assumptions!$C$21,Assumptions!$B$21/12*Assumptions!$D$21,0)</f>
        <v>15000</v>
      </c>
      <c r="E27" s="29">
        <f>IF(4&gt;=Assumptions!$C$21,Assumptions!$B$21/12*Assumptions!$D$21,0)</f>
        <v>15000</v>
      </c>
      <c r="F27" s="29">
        <f>IF(5&gt;=Assumptions!$C$21,Assumptions!$B$21/12*Assumptions!$D$21,0)</f>
        <v>15000</v>
      </c>
      <c r="G27" s="29">
        <f>IF(6&gt;=Assumptions!$C$21,Assumptions!$B$21/12*Assumptions!$D$21,0)</f>
        <v>15000</v>
      </c>
      <c r="H27" s="29">
        <f>IF(7&gt;=Assumptions!$C$21,Assumptions!$B$21/12*Assumptions!$D$21,0)</f>
        <v>15000</v>
      </c>
      <c r="I27" s="29">
        <f>IF(8&gt;=Assumptions!$C$21,Assumptions!$B$21/12*Assumptions!$D$21,0)</f>
        <v>15000</v>
      </c>
      <c r="J27" s="29">
        <f>IF(9&gt;=Assumptions!$C$21,Assumptions!$B$21/12*Assumptions!$D$21,0)</f>
        <v>15000</v>
      </c>
      <c r="K27" s="29">
        <f>IF(10&gt;=Assumptions!$C$21,Assumptions!$B$21/12*Assumptions!$D$21,0)</f>
        <v>15000</v>
      </c>
      <c r="L27" s="29">
        <f>IF(11&gt;=Assumptions!$C$21,Assumptions!$B$21/12*Assumptions!$D$21,0)</f>
        <v>15000</v>
      </c>
      <c r="M27" s="29">
        <f>IF(12&gt;=Assumptions!$C$21,Assumptions!$B$21/12*Assumptions!$D$21,0)</f>
        <v>15000</v>
      </c>
      <c r="N27" s="30">
        <f t="shared" ref="N27:N36" si="4">SUM(B27:M27)</f>
        <v>180000</v>
      </c>
    </row>
    <row r="28" spans="1:14" x14ac:dyDescent="0.35">
      <c r="A28" s="27" t="str">
        <f>Assumptions!A22</f>
        <v>Senior accountant</v>
      </c>
      <c r="B28" s="29">
        <f>IF(1&gt;=Assumptions!$C$22,Assumptions!$B$22/12*Assumptions!$D$22,0)</f>
        <v>15833.333333333334</v>
      </c>
      <c r="C28" s="29">
        <f>IF(2&gt;=Assumptions!$C$22,Assumptions!$B$22/12*Assumptions!$D$22,0)</f>
        <v>15833.333333333334</v>
      </c>
      <c r="D28" s="29">
        <f>IF(3&gt;=Assumptions!$C$22,Assumptions!$B$22/12*Assumptions!$D$22,0)</f>
        <v>15833.333333333334</v>
      </c>
      <c r="E28" s="29">
        <f>IF(4&gt;=Assumptions!$C$22,Assumptions!$B$22/12*Assumptions!$D$22,0)</f>
        <v>15833.333333333334</v>
      </c>
      <c r="F28" s="29">
        <f>IF(5&gt;=Assumptions!$C$22,Assumptions!$B$22/12*Assumptions!$D$22,0)</f>
        <v>15833.333333333334</v>
      </c>
      <c r="G28" s="29">
        <f>IF(6&gt;=Assumptions!$C$22,Assumptions!$B$22/12*Assumptions!$D$22,0)</f>
        <v>15833.333333333334</v>
      </c>
      <c r="H28" s="29">
        <f>IF(7&gt;=Assumptions!$C$22,Assumptions!$B$22/12*Assumptions!$D$22,0)</f>
        <v>15833.333333333334</v>
      </c>
      <c r="I28" s="29">
        <f>IF(8&gt;=Assumptions!$C$22,Assumptions!$B$22/12*Assumptions!$D$22,0)</f>
        <v>15833.333333333334</v>
      </c>
      <c r="J28" s="29">
        <f>IF(9&gt;=Assumptions!$C$22,Assumptions!$B$22/12*Assumptions!$D$22,0)</f>
        <v>15833.333333333334</v>
      </c>
      <c r="K28" s="29">
        <f>IF(10&gt;=Assumptions!$C$22,Assumptions!$B$22/12*Assumptions!$D$22,0)</f>
        <v>15833.333333333334</v>
      </c>
      <c r="L28" s="29">
        <f>IF(11&gt;=Assumptions!$C$22,Assumptions!$B$22/12*Assumptions!$D$22,0)</f>
        <v>15833.333333333334</v>
      </c>
      <c r="M28" s="29">
        <f>IF(12&gt;=Assumptions!$C$22,Assumptions!$B$22/12*Assumptions!$D$22,0)</f>
        <v>15833.333333333334</v>
      </c>
      <c r="N28" s="30">
        <f t="shared" si="4"/>
        <v>190000.00000000003</v>
      </c>
    </row>
    <row r="29" spans="1:14" x14ac:dyDescent="0.35">
      <c r="A29" s="27" t="str">
        <f>Assumptions!A23</f>
        <v>Staff accountant</v>
      </c>
      <c r="B29" s="29">
        <f>IF(1&gt;=Assumptions!$C$23,Assumptions!$B$23/12*Assumptions!$D$23,0)</f>
        <v>22666.666666666668</v>
      </c>
      <c r="C29" s="29">
        <f>IF(2&gt;=Assumptions!$C$23,Assumptions!$B$23/12*Assumptions!$D$23,0)</f>
        <v>22666.666666666668</v>
      </c>
      <c r="D29" s="29">
        <f>IF(3&gt;=Assumptions!$C$23,Assumptions!$B$23/12*Assumptions!$D$23,0)</f>
        <v>22666.666666666668</v>
      </c>
      <c r="E29" s="29">
        <f>IF(4&gt;=Assumptions!$C$23,Assumptions!$B$23/12*Assumptions!$D$23,0)</f>
        <v>22666.666666666668</v>
      </c>
      <c r="F29" s="29">
        <f>IF(5&gt;=Assumptions!$C$23,Assumptions!$B$23/12*Assumptions!$D$23,0)</f>
        <v>22666.666666666668</v>
      </c>
      <c r="G29" s="29">
        <f>IF(6&gt;=Assumptions!$C$23,Assumptions!$B$23/12*Assumptions!$D$23,0)</f>
        <v>22666.666666666668</v>
      </c>
      <c r="H29" s="29">
        <f>IF(7&gt;=Assumptions!$C$23,Assumptions!$B$23/12*Assumptions!$D$23,0)</f>
        <v>22666.666666666668</v>
      </c>
      <c r="I29" s="29">
        <f>IF(8&gt;=Assumptions!$C$23,Assumptions!$B$23/12*Assumptions!$D$23,0)</f>
        <v>22666.666666666668</v>
      </c>
      <c r="J29" s="29">
        <f>IF(9&gt;=Assumptions!$C$23,Assumptions!$B$23/12*Assumptions!$D$23,0)</f>
        <v>22666.666666666668</v>
      </c>
      <c r="K29" s="29">
        <f>IF(10&gt;=Assumptions!$C$23,Assumptions!$B$23/12*Assumptions!$D$23,0)</f>
        <v>22666.666666666668</v>
      </c>
      <c r="L29" s="29">
        <f>IF(11&gt;=Assumptions!$C$23,Assumptions!$B$23/12*Assumptions!$D$23,0)</f>
        <v>22666.666666666668</v>
      </c>
      <c r="M29" s="29">
        <f>IF(12&gt;=Assumptions!$C$23,Assumptions!$B$23/12*Assumptions!$D$23,0)</f>
        <v>22666.666666666668</v>
      </c>
      <c r="N29" s="30">
        <f t="shared" si="4"/>
        <v>271999.99999999994</v>
      </c>
    </row>
    <row r="30" spans="1:14" x14ac:dyDescent="0.35">
      <c r="A30" s="27" t="str">
        <f>Assumptions!A24</f>
        <v>Staff accountant (new hire)</v>
      </c>
      <c r="B30" s="29">
        <f>IF(1&gt;=Assumptions!$C$24,Assumptions!$B$24/12*Assumptions!$D$24,0)</f>
        <v>0</v>
      </c>
      <c r="C30" s="29">
        <f>IF(2&gt;=Assumptions!$C$24,Assumptions!$B$24/12*Assumptions!$D$24,0)</f>
        <v>0</v>
      </c>
      <c r="D30" s="29">
        <f>IF(3&gt;=Assumptions!$C$24,Assumptions!$B$24/12*Assumptions!$D$24,0)</f>
        <v>0</v>
      </c>
      <c r="E30" s="29">
        <f>IF(4&gt;=Assumptions!$C$24,Assumptions!$B$24/12*Assumptions!$D$24,0)</f>
        <v>5666.666666666667</v>
      </c>
      <c r="F30" s="29">
        <f>IF(5&gt;=Assumptions!$C$24,Assumptions!$B$24/12*Assumptions!$D$24,0)</f>
        <v>5666.666666666667</v>
      </c>
      <c r="G30" s="29">
        <f>IF(6&gt;=Assumptions!$C$24,Assumptions!$B$24/12*Assumptions!$D$24,0)</f>
        <v>5666.666666666667</v>
      </c>
      <c r="H30" s="29">
        <f>IF(7&gt;=Assumptions!$C$24,Assumptions!$B$24/12*Assumptions!$D$24,0)</f>
        <v>5666.666666666667</v>
      </c>
      <c r="I30" s="29">
        <f>IF(8&gt;=Assumptions!$C$24,Assumptions!$B$24/12*Assumptions!$D$24,0)</f>
        <v>5666.666666666667</v>
      </c>
      <c r="J30" s="29">
        <f>IF(9&gt;=Assumptions!$C$24,Assumptions!$B$24/12*Assumptions!$D$24,0)</f>
        <v>5666.666666666667</v>
      </c>
      <c r="K30" s="29">
        <f>IF(10&gt;=Assumptions!$C$24,Assumptions!$B$24/12*Assumptions!$D$24,0)</f>
        <v>5666.666666666667</v>
      </c>
      <c r="L30" s="29">
        <f>IF(11&gt;=Assumptions!$C$24,Assumptions!$B$24/12*Assumptions!$D$24,0)</f>
        <v>5666.666666666667</v>
      </c>
      <c r="M30" s="29">
        <f>IF(12&gt;=Assumptions!$C$24,Assumptions!$B$24/12*Assumptions!$D$24,0)</f>
        <v>5666.666666666667</v>
      </c>
      <c r="N30" s="30">
        <f t="shared" si="4"/>
        <v>50999.999999999993</v>
      </c>
    </row>
    <row r="31" spans="1:14" x14ac:dyDescent="0.35">
      <c r="A31" s="27" t="str">
        <f>Assumptions!A25</f>
        <v>Operations manager</v>
      </c>
      <c r="B31" s="29">
        <f>IF(1&gt;=Assumptions!$C$25,Assumptions!$B$25/12*Assumptions!$D$25,0)</f>
        <v>0</v>
      </c>
      <c r="C31" s="29">
        <f>IF(2&gt;=Assumptions!$C$25,Assumptions!$B$25/12*Assumptions!$D$25,0)</f>
        <v>0</v>
      </c>
      <c r="D31" s="29">
        <f>IF(3&gt;=Assumptions!$C$25,Assumptions!$B$25/12*Assumptions!$D$25,0)</f>
        <v>0</v>
      </c>
      <c r="E31" s="29">
        <f>IF(4&gt;=Assumptions!$C$25,Assumptions!$B$25/12*Assumptions!$D$25,0)</f>
        <v>0</v>
      </c>
      <c r="F31" s="29">
        <f>IF(5&gt;=Assumptions!$C$25,Assumptions!$B$25/12*Assumptions!$D$25,0)</f>
        <v>0</v>
      </c>
      <c r="G31" s="29">
        <f>IF(6&gt;=Assumptions!$C$25,Assumptions!$B$25/12*Assumptions!$D$25,0)</f>
        <v>0</v>
      </c>
      <c r="H31" s="29">
        <f>IF(7&gt;=Assumptions!$C$25,Assumptions!$B$25/12*Assumptions!$D$25,0)</f>
        <v>7083.333333333333</v>
      </c>
      <c r="I31" s="29">
        <f>IF(8&gt;=Assumptions!$C$25,Assumptions!$B$25/12*Assumptions!$D$25,0)</f>
        <v>7083.333333333333</v>
      </c>
      <c r="J31" s="29">
        <f>IF(9&gt;=Assumptions!$C$25,Assumptions!$B$25/12*Assumptions!$D$25,0)</f>
        <v>7083.333333333333</v>
      </c>
      <c r="K31" s="29">
        <f>IF(10&gt;=Assumptions!$C$25,Assumptions!$B$25/12*Assumptions!$D$25,0)</f>
        <v>7083.333333333333</v>
      </c>
      <c r="L31" s="29">
        <f>IF(11&gt;=Assumptions!$C$25,Assumptions!$B$25/12*Assumptions!$D$25,0)</f>
        <v>7083.333333333333</v>
      </c>
      <c r="M31" s="29">
        <f>IF(12&gt;=Assumptions!$C$25,Assumptions!$B$25/12*Assumptions!$D$25,0)</f>
        <v>7083.333333333333</v>
      </c>
      <c r="N31" s="30">
        <f t="shared" si="4"/>
        <v>42500</v>
      </c>
    </row>
    <row r="32" spans="1:14" x14ac:dyDescent="0.35">
      <c r="A32" s="27" t="str">
        <f>Assumptions!A26</f>
        <v>Role 6</v>
      </c>
      <c r="B32" s="29">
        <f>IF(1&gt;=Assumptions!$C$26,Assumptions!$B$26/12*Assumptions!$D$26,0)</f>
        <v>0</v>
      </c>
      <c r="C32" s="29">
        <f>IF(2&gt;=Assumptions!$C$26,Assumptions!$B$26/12*Assumptions!$D$26,0)</f>
        <v>0</v>
      </c>
      <c r="D32" s="29">
        <f>IF(3&gt;=Assumptions!$C$26,Assumptions!$B$26/12*Assumptions!$D$26,0)</f>
        <v>0</v>
      </c>
      <c r="E32" s="29">
        <f>IF(4&gt;=Assumptions!$C$26,Assumptions!$B$26/12*Assumptions!$D$26,0)</f>
        <v>0</v>
      </c>
      <c r="F32" s="29">
        <f>IF(5&gt;=Assumptions!$C$26,Assumptions!$B$26/12*Assumptions!$D$26,0)</f>
        <v>0</v>
      </c>
      <c r="G32" s="29">
        <f>IF(6&gt;=Assumptions!$C$26,Assumptions!$B$26/12*Assumptions!$D$26,0)</f>
        <v>0</v>
      </c>
      <c r="H32" s="29">
        <f>IF(7&gt;=Assumptions!$C$26,Assumptions!$B$26/12*Assumptions!$D$26,0)</f>
        <v>0</v>
      </c>
      <c r="I32" s="29">
        <f>IF(8&gt;=Assumptions!$C$26,Assumptions!$B$26/12*Assumptions!$D$26,0)</f>
        <v>0</v>
      </c>
      <c r="J32" s="29">
        <f>IF(9&gt;=Assumptions!$C$26,Assumptions!$B$26/12*Assumptions!$D$26,0)</f>
        <v>0</v>
      </c>
      <c r="K32" s="29">
        <f>IF(10&gt;=Assumptions!$C$26,Assumptions!$B$26/12*Assumptions!$D$26,0)</f>
        <v>0</v>
      </c>
      <c r="L32" s="29">
        <f>IF(11&gt;=Assumptions!$C$26,Assumptions!$B$26/12*Assumptions!$D$26,0)</f>
        <v>0</v>
      </c>
      <c r="M32" s="29">
        <f>IF(12&gt;=Assumptions!$C$26,Assumptions!$B$26/12*Assumptions!$D$26,0)</f>
        <v>0</v>
      </c>
      <c r="N32" s="30">
        <f t="shared" si="4"/>
        <v>0</v>
      </c>
    </row>
    <row r="33" spans="1:14" x14ac:dyDescent="0.35">
      <c r="A33" s="27" t="str">
        <f>Assumptions!A27</f>
        <v>Role 7</v>
      </c>
      <c r="B33" s="29">
        <f>IF(1&gt;=Assumptions!$C$27,Assumptions!$B$27/12*Assumptions!$D$27,0)</f>
        <v>0</v>
      </c>
      <c r="C33" s="29">
        <f>IF(2&gt;=Assumptions!$C$27,Assumptions!$B$27/12*Assumptions!$D$27,0)</f>
        <v>0</v>
      </c>
      <c r="D33" s="29">
        <f>IF(3&gt;=Assumptions!$C$27,Assumptions!$B$27/12*Assumptions!$D$27,0)</f>
        <v>0</v>
      </c>
      <c r="E33" s="29">
        <f>IF(4&gt;=Assumptions!$C$27,Assumptions!$B$27/12*Assumptions!$D$27,0)</f>
        <v>0</v>
      </c>
      <c r="F33" s="29">
        <f>IF(5&gt;=Assumptions!$C$27,Assumptions!$B$27/12*Assumptions!$D$27,0)</f>
        <v>0</v>
      </c>
      <c r="G33" s="29">
        <f>IF(6&gt;=Assumptions!$C$27,Assumptions!$B$27/12*Assumptions!$D$27,0)</f>
        <v>0</v>
      </c>
      <c r="H33" s="29">
        <f>IF(7&gt;=Assumptions!$C$27,Assumptions!$B$27/12*Assumptions!$D$27,0)</f>
        <v>0</v>
      </c>
      <c r="I33" s="29">
        <f>IF(8&gt;=Assumptions!$C$27,Assumptions!$B$27/12*Assumptions!$D$27,0)</f>
        <v>0</v>
      </c>
      <c r="J33" s="29">
        <f>IF(9&gt;=Assumptions!$C$27,Assumptions!$B$27/12*Assumptions!$D$27,0)</f>
        <v>0</v>
      </c>
      <c r="K33" s="29">
        <f>IF(10&gt;=Assumptions!$C$27,Assumptions!$B$27/12*Assumptions!$D$27,0)</f>
        <v>0</v>
      </c>
      <c r="L33" s="29">
        <f>IF(11&gt;=Assumptions!$C$27,Assumptions!$B$27/12*Assumptions!$D$27,0)</f>
        <v>0</v>
      </c>
      <c r="M33" s="29">
        <f>IF(12&gt;=Assumptions!$C$27,Assumptions!$B$27/12*Assumptions!$D$27,0)</f>
        <v>0</v>
      </c>
      <c r="N33" s="30">
        <f t="shared" si="4"/>
        <v>0</v>
      </c>
    </row>
    <row r="34" spans="1:14" x14ac:dyDescent="0.35">
      <c r="A34" s="27" t="str">
        <f>Assumptions!A28</f>
        <v>Role 8</v>
      </c>
      <c r="B34" s="29">
        <f>IF(1&gt;=Assumptions!$C$28,Assumptions!$B$28/12*Assumptions!$D$28,0)</f>
        <v>0</v>
      </c>
      <c r="C34" s="29">
        <f>IF(2&gt;=Assumptions!$C$28,Assumptions!$B$28/12*Assumptions!$D$28,0)</f>
        <v>0</v>
      </c>
      <c r="D34" s="29">
        <f>IF(3&gt;=Assumptions!$C$28,Assumptions!$B$28/12*Assumptions!$D$28,0)</f>
        <v>0</v>
      </c>
      <c r="E34" s="29">
        <f>IF(4&gt;=Assumptions!$C$28,Assumptions!$B$28/12*Assumptions!$D$28,0)</f>
        <v>0</v>
      </c>
      <c r="F34" s="29">
        <f>IF(5&gt;=Assumptions!$C$28,Assumptions!$B$28/12*Assumptions!$D$28,0)</f>
        <v>0</v>
      </c>
      <c r="G34" s="29">
        <f>IF(6&gt;=Assumptions!$C$28,Assumptions!$B$28/12*Assumptions!$D$28,0)</f>
        <v>0</v>
      </c>
      <c r="H34" s="29">
        <f>IF(7&gt;=Assumptions!$C$28,Assumptions!$B$28/12*Assumptions!$D$28,0)</f>
        <v>0</v>
      </c>
      <c r="I34" s="29">
        <f>IF(8&gt;=Assumptions!$C$28,Assumptions!$B$28/12*Assumptions!$D$28,0)</f>
        <v>0</v>
      </c>
      <c r="J34" s="29">
        <f>IF(9&gt;=Assumptions!$C$28,Assumptions!$B$28/12*Assumptions!$D$28,0)</f>
        <v>0</v>
      </c>
      <c r="K34" s="29">
        <f>IF(10&gt;=Assumptions!$C$28,Assumptions!$B$28/12*Assumptions!$D$28,0)</f>
        <v>0</v>
      </c>
      <c r="L34" s="29">
        <f>IF(11&gt;=Assumptions!$C$28,Assumptions!$B$28/12*Assumptions!$D$28,0)</f>
        <v>0</v>
      </c>
      <c r="M34" s="29">
        <f>IF(12&gt;=Assumptions!$C$28,Assumptions!$B$28/12*Assumptions!$D$28,0)</f>
        <v>0</v>
      </c>
      <c r="N34" s="30">
        <f t="shared" si="4"/>
        <v>0</v>
      </c>
    </row>
    <row r="35" spans="1:14" x14ac:dyDescent="0.35">
      <c r="A35" s="15" t="s">
        <v>101</v>
      </c>
      <c r="B35" s="29">
        <f>SUM(B27:B34)*Assumptions!$B$29</f>
        <v>10700</v>
      </c>
      <c r="C35" s="29">
        <f>SUM(C27:C34)*Assumptions!$B$29</f>
        <v>10700</v>
      </c>
      <c r="D35" s="29">
        <f>SUM(D27:D34)*Assumptions!$B$29</f>
        <v>10700</v>
      </c>
      <c r="E35" s="29">
        <f>SUM(E27:E34)*Assumptions!$B$29</f>
        <v>11833.333333333334</v>
      </c>
      <c r="F35" s="29">
        <f>SUM(F27:F34)*Assumptions!$B$29</f>
        <v>11833.333333333334</v>
      </c>
      <c r="G35" s="29">
        <f>SUM(G27:G34)*Assumptions!$B$29</f>
        <v>11833.333333333334</v>
      </c>
      <c r="H35" s="29">
        <f>SUM(H27:H34)*Assumptions!$B$29</f>
        <v>13250</v>
      </c>
      <c r="I35" s="29">
        <f>SUM(I27:I34)*Assumptions!$B$29</f>
        <v>13250</v>
      </c>
      <c r="J35" s="29">
        <f>SUM(J27:J34)*Assumptions!$B$29</f>
        <v>13250</v>
      </c>
      <c r="K35" s="29">
        <f>SUM(K27:K34)*Assumptions!$B$29</f>
        <v>13250</v>
      </c>
      <c r="L35" s="29">
        <f>SUM(L27:L34)*Assumptions!$B$29</f>
        <v>13250</v>
      </c>
      <c r="M35" s="29">
        <f>SUM(M27:M34)*Assumptions!$B$29</f>
        <v>13250</v>
      </c>
      <c r="N35" s="30">
        <f t="shared" si="4"/>
        <v>147100</v>
      </c>
    </row>
    <row r="36" spans="1:14" x14ac:dyDescent="0.35">
      <c r="A36" s="10" t="s">
        <v>102</v>
      </c>
      <c r="B36" s="31">
        <f t="shared" ref="B36:M36" si="5">SUM(B27:B35)</f>
        <v>64200</v>
      </c>
      <c r="C36" s="31">
        <f t="shared" si="5"/>
        <v>64200</v>
      </c>
      <c r="D36" s="31">
        <f t="shared" si="5"/>
        <v>64200</v>
      </c>
      <c r="E36" s="31">
        <f t="shared" si="5"/>
        <v>71000</v>
      </c>
      <c r="F36" s="31">
        <f t="shared" si="5"/>
        <v>71000</v>
      </c>
      <c r="G36" s="31">
        <f t="shared" si="5"/>
        <v>71000</v>
      </c>
      <c r="H36" s="31">
        <f t="shared" si="5"/>
        <v>79500</v>
      </c>
      <c r="I36" s="31">
        <f t="shared" si="5"/>
        <v>79500</v>
      </c>
      <c r="J36" s="31">
        <f t="shared" si="5"/>
        <v>79500</v>
      </c>
      <c r="K36" s="31">
        <f t="shared" si="5"/>
        <v>79500</v>
      </c>
      <c r="L36" s="31">
        <f t="shared" si="5"/>
        <v>79500</v>
      </c>
      <c r="M36" s="31">
        <f t="shared" si="5"/>
        <v>79500</v>
      </c>
      <c r="N36" s="30">
        <f t="shared" si="4"/>
        <v>882600</v>
      </c>
    </row>
    <row r="37" spans="1:14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35">
      <c r="A38" s="25" t="s">
        <v>103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</row>
    <row r="39" spans="1:14" x14ac:dyDescent="0.35">
      <c r="A39" s="27" t="str">
        <f>Assumptions!A32</f>
        <v>Rent and utilities</v>
      </c>
      <c r="B39" s="29">
        <f>Assumptions!$B$32</f>
        <v>6500</v>
      </c>
      <c r="C39" s="29">
        <f>Assumptions!$B$32</f>
        <v>6500</v>
      </c>
      <c r="D39" s="29">
        <f>Assumptions!$B$32</f>
        <v>6500</v>
      </c>
      <c r="E39" s="29">
        <f>Assumptions!$B$32</f>
        <v>6500</v>
      </c>
      <c r="F39" s="29">
        <f>Assumptions!$B$32</f>
        <v>6500</v>
      </c>
      <c r="G39" s="29">
        <f>Assumptions!$B$32</f>
        <v>6500</v>
      </c>
      <c r="H39" s="29">
        <f>Assumptions!$B$32</f>
        <v>6500</v>
      </c>
      <c r="I39" s="29">
        <f>Assumptions!$B$32</f>
        <v>6500</v>
      </c>
      <c r="J39" s="29">
        <f>Assumptions!$B$32</f>
        <v>6500</v>
      </c>
      <c r="K39" s="29">
        <f>Assumptions!$B$32</f>
        <v>6500</v>
      </c>
      <c r="L39" s="29">
        <f>Assumptions!$B$32</f>
        <v>6500</v>
      </c>
      <c r="M39" s="29">
        <f>Assumptions!$B$32</f>
        <v>6500</v>
      </c>
      <c r="N39" s="30">
        <f t="shared" ref="N39:N47" si="6">SUM(B39:M39)</f>
        <v>78000</v>
      </c>
    </row>
    <row r="40" spans="1:14" x14ac:dyDescent="0.35">
      <c r="A40" s="27" t="str">
        <f>Assumptions!A33</f>
        <v>Software and subscriptions</v>
      </c>
      <c r="B40" s="29">
        <f>Assumptions!$B$33</f>
        <v>3200</v>
      </c>
      <c r="C40" s="29">
        <f>Assumptions!$B$33</f>
        <v>3200</v>
      </c>
      <c r="D40" s="29">
        <f>Assumptions!$B$33</f>
        <v>3200</v>
      </c>
      <c r="E40" s="29">
        <f>Assumptions!$B$33</f>
        <v>3200</v>
      </c>
      <c r="F40" s="29">
        <f>Assumptions!$B$33</f>
        <v>3200</v>
      </c>
      <c r="G40" s="29">
        <f>Assumptions!$B$33</f>
        <v>3200</v>
      </c>
      <c r="H40" s="29">
        <f>Assumptions!$B$33</f>
        <v>3200</v>
      </c>
      <c r="I40" s="29">
        <f>Assumptions!$B$33</f>
        <v>3200</v>
      </c>
      <c r="J40" s="29">
        <f>Assumptions!$B$33</f>
        <v>3200</v>
      </c>
      <c r="K40" s="29">
        <f>Assumptions!$B$33</f>
        <v>3200</v>
      </c>
      <c r="L40" s="29">
        <f>Assumptions!$B$33</f>
        <v>3200</v>
      </c>
      <c r="M40" s="29">
        <f>Assumptions!$B$33</f>
        <v>3200</v>
      </c>
      <c r="N40" s="30">
        <f t="shared" si="6"/>
        <v>38400</v>
      </c>
    </row>
    <row r="41" spans="1:14" x14ac:dyDescent="0.35">
      <c r="A41" s="27" t="str">
        <f>Assumptions!A34</f>
        <v>Insurance</v>
      </c>
      <c r="B41" s="29">
        <f>Assumptions!$B$34</f>
        <v>1500</v>
      </c>
      <c r="C41" s="29">
        <f>Assumptions!$B$34</f>
        <v>1500</v>
      </c>
      <c r="D41" s="29">
        <f>Assumptions!$B$34</f>
        <v>1500</v>
      </c>
      <c r="E41" s="29">
        <f>Assumptions!$B$34</f>
        <v>1500</v>
      </c>
      <c r="F41" s="29">
        <f>Assumptions!$B$34</f>
        <v>1500</v>
      </c>
      <c r="G41" s="29">
        <f>Assumptions!$B$34</f>
        <v>1500</v>
      </c>
      <c r="H41" s="29">
        <f>Assumptions!$B$34</f>
        <v>1500</v>
      </c>
      <c r="I41" s="29">
        <f>Assumptions!$B$34</f>
        <v>1500</v>
      </c>
      <c r="J41" s="29">
        <f>Assumptions!$B$34</f>
        <v>1500</v>
      </c>
      <c r="K41" s="29">
        <f>Assumptions!$B$34</f>
        <v>1500</v>
      </c>
      <c r="L41" s="29">
        <f>Assumptions!$B$34</f>
        <v>1500</v>
      </c>
      <c r="M41" s="29">
        <f>Assumptions!$B$34</f>
        <v>1500</v>
      </c>
      <c r="N41" s="30">
        <f t="shared" si="6"/>
        <v>18000</v>
      </c>
    </row>
    <row r="42" spans="1:14" x14ac:dyDescent="0.35">
      <c r="A42" s="27" t="str">
        <f>Assumptions!A35</f>
        <v>Marketing and advertising</v>
      </c>
      <c r="B42" s="29">
        <f>Assumptions!$B$35</f>
        <v>4000</v>
      </c>
      <c r="C42" s="29">
        <f>Assumptions!$B$35</f>
        <v>4000</v>
      </c>
      <c r="D42" s="29">
        <f>Assumptions!$B$35</f>
        <v>4000</v>
      </c>
      <c r="E42" s="29">
        <f>Assumptions!$B$35</f>
        <v>4000</v>
      </c>
      <c r="F42" s="29">
        <f>Assumptions!$B$35</f>
        <v>4000</v>
      </c>
      <c r="G42" s="29">
        <f>Assumptions!$B$35</f>
        <v>4000</v>
      </c>
      <c r="H42" s="29">
        <f>Assumptions!$B$35</f>
        <v>4000</v>
      </c>
      <c r="I42" s="29">
        <f>Assumptions!$B$35</f>
        <v>4000</v>
      </c>
      <c r="J42" s="29">
        <f>Assumptions!$B$35</f>
        <v>4000</v>
      </c>
      <c r="K42" s="29">
        <f>Assumptions!$B$35</f>
        <v>4000</v>
      </c>
      <c r="L42" s="29">
        <f>Assumptions!$B$35</f>
        <v>4000</v>
      </c>
      <c r="M42" s="29">
        <f>Assumptions!$B$35</f>
        <v>4000</v>
      </c>
      <c r="N42" s="30">
        <f t="shared" si="6"/>
        <v>48000</v>
      </c>
    </row>
    <row r="43" spans="1:14" x14ac:dyDescent="0.35">
      <c r="A43" s="27" t="str">
        <f>Assumptions!A36</f>
        <v>Professional fees (legal, tax)</v>
      </c>
      <c r="B43" s="29">
        <f>Assumptions!$B$36</f>
        <v>2000</v>
      </c>
      <c r="C43" s="29">
        <f>Assumptions!$B$36</f>
        <v>2000</v>
      </c>
      <c r="D43" s="29">
        <f>Assumptions!$B$36</f>
        <v>2000</v>
      </c>
      <c r="E43" s="29">
        <f>Assumptions!$B$36</f>
        <v>2000</v>
      </c>
      <c r="F43" s="29">
        <f>Assumptions!$B$36</f>
        <v>2000</v>
      </c>
      <c r="G43" s="29">
        <f>Assumptions!$B$36</f>
        <v>2000</v>
      </c>
      <c r="H43" s="29">
        <f>Assumptions!$B$36</f>
        <v>2000</v>
      </c>
      <c r="I43" s="29">
        <f>Assumptions!$B$36</f>
        <v>2000</v>
      </c>
      <c r="J43" s="29">
        <f>Assumptions!$B$36</f>
        <v>2000</v>
      </c>
      <c r="K43" s="29">
        <f>Assumptions!$B$36</f>
        <v>2000</v>
      </c>
      <c r="L43" s="29">
        <f>Assumptions!$B$36</f>
        <v>2000</v>
      </c>
      <c r="M43" s="29">
        <f>Assumptions!$B$36</f>
        <v>2000</v>
      </c>
      <c r="N43" s="30">
        <f t="shared" si="6"/>
        <v>24000</v>
      </c>
    </row>
    <row r="44" spans="1:14" x14ac:dyDescent="0.35">
      <c r="A44" s="27" t="str">
        <f>Assumptions!A37</f>
        <v>Travel and meals</v>
      </c>
      <c r="B44" s="29">
        <f>Assumptions!$B$37</f>
        <v>1200</v>
      </c>
      <c r="C44" s="29">
        <f>Assumptions!$B$37</f>
        <v>1200</v>
      </c>
      <c r="D44" s="29">
        <f>Assumptions!$B$37</f>
        <v>1200</v>
      </c>
      <c r="E44" s="29">
        <f>Assumptions!$B$37</f>
        <v>1200</v>
      </c>
      <c r="F44" s="29">
        <f>Assumptions!$B$37</f>
        <v>1200</v>
      </c>
      <c r="G44" s="29">
        <f>Assumptions!$B$37</f>
        <v>1200</v>
      </c>
      <c r="H44" s="29">
        <f>Assumptions!$B$37</f>
        <v>1200</v>
      </c>
      <c r="I44" s="29">
        <f>Assumptions!$B$37</f>
        <v>1200</v>
      </c>
      <c r="J44" s="29">
        <f>Assumptions!$B$37</f>
        <v>1200</v>
      </c>
      <c r="K44" s="29">
        <f>Assumptions!$B$37</f>
        <v>1200</v>
      </c>
      <c r="L44" s="29">
        <f>Assumptions!$B$37</f>
        <v>1200</v>
      </c>
      <c r="M44" s="29">
        <f>Assumptions!$B$37</f>
        <v>1200</v>
      </c>
      <c r="N44" s="30">
        <f t="shared" si="6"/>
        <v>14400</v>
      </c>
    </row>
    <row r="45" spans="1:14" x14ac:dyDescent="0.35">
      <c r="A45" s="27" t="str">
        <f>Assumptions!A38</f>
        <v>Training and development</v>
      </c>
      <c r="B45" s="29">
        <f>Assumptions!$B$38</f>
        <v>800</v>
      </c>
      <c r="C45" s="29">
        <f>Assumptions!$B$38</f>
        <v>800</v>
      </c>
      <c r="D45" s="29">
        <f>Assumptions!$B$38</f>
        <v>800</v>
      </c>
      <c r="E45" s="29">
        <f>Assumptions!$B$38</f>
        <v>800</v>
      </c>
      <c r="F45" s="29">
        <f>Assumptions!$B$38</f>
        <v>800</v>
      </c>
      <c r="G45" s="29">
        <f>Assumptions!$B$38</f>
        <v>800</v>
      </c>
      <c r="H45" s="29">
        <f>Assumptions!$B$38</f>
        <v>800</v>
      </c>
      <c r="I45" s="29">
        <f>Assumptions!$B$38</f>
        <v>800</v>
      </c>
      <c r="J45" s="29">
        <f>Assumptions!$B$38</f>
        <v>800</v>
      </c>
      <c r="K45" s="29">
        <f>Assumptions!$B$38</f>
        <v>800</v>
      </c>
      <c r="L45" s="29">
        <f>Assumptions!$B$38</f>
        <v>800</v>
      </c>
      <c r="M45" s="29">
        <f>Assumptions!$B$38</f>
        <v>800</v>
      </c>
      <c r="N45" s="30">
        <f t="shared" si="6"/>
        <v>9600</v>
      </c>
    </row>
    <row r="46" spans="1:14" x14ac:dyDescent="0.35">
      <c r="A46" s="27" t="str">
        <f>Assumptions!A39</f>
        <v>Other</v>
      </c>
      <c r="B46" s="29">
        <f>Assumptions!$B$39</f>
        <v>1000</v>
      </c>
      <c r="C46" s="29">
        <f>Assumptions!$B$39</f>
        <v>1000</v>
      </c>
      <c r="D46" s="29">
        <f>Assumptions!$B$39</f>
        <v>1000</v>
      </c>
      <c r="E46" s="29">
        <f>Assumptions!$B$39</f>
        <v>1000</v>
      </c>
      <c r="F46" s="29">
        <f>Assumptions!$B$39</f>
        <v>1000</v>
      </c>
      <c r="G46" s="29">
        <f>Assumptions!$B$39</f>
        <v>1000</v>
      </c>
      <c r="H46" s="29">
        <f>Assumptions!$B$39</f>
        <v>1000</v>
      </c>
      <c r="I46" s="29">
        <f>Assumptions!$B$39</f>
        <v>1000</v>
      </c>
      <c r="J46" s="29">
        <f>Assumptions!$B$39</f>
        <v>1000</v>
      </c>
      <c r="K46" s="29">
        <f>Assumptions!$B$39</f>
        <v>1000</v>
      </c>
      <c r="L46" s="29">
        <f>Assumptions!$B$39</f>
        <v>1000</v>
      </c>
      <c r="M46" s="29">
        <f>Assumptions!$B$39</f>
        <v>1000</v>
      </c>
      <c r="N46" s="30">
        <f t="shared" si="6"/>
        <v>12000</v>
      </c>
    </row>
    <row r="47" spans="1:14" x14ac:dyDescent="0.35">
      <c r="A47" s="10" t="s">
        <v>104</v>
      </c>
      <c r="B47" s="31">
        <f t="shared" ref="B47:M47" si="7">SUM(B39:B46)</f>
        <v>20200</v>
      </c>
      <c r="C47" s="31">
        <f t="shared" si="7"/>
        <v>20200</v>
      </c>
      <c r="D47" s="31">
        <f t="shared" si="7"/>
        <v>20200</v>
      </c>
      <c r="E47" s="31">
        <f t="shared" si="7"/>
        <v>20200</v>
      </c>
      <c r="F47" s="31">
        <f t="shared" si="7"/>
        <v>20200</v>
      </c>
      <c r="G47" s="31">
        <f t="shared" si="7"/>
        <v>20200</v>
      </c>
      <c r="H47" s="31">
        <f t="shared" si="7"/>
        <v>20200</v>
      </c>
      <c r="I47" s="31">
        <f t="shared" si="7"/>
        <v>20200</v>
      </c>
      <c r="J47" s="31">
        <f t="shared" si="7"/>
        <v>20200</v>
      </c>
      <c r="K47" s="31">
        <f t="shared" si="7"/>
        <v>20200</v>
      </c>
      <c r="L47" s="31">
        <f t="shared" si="7"/>
        <v>20200</v>
      </c>
      <c r="M47" s="31">
        <f t="shared" si="7"/>
        <v>20200</v>
      </c>
      <c r="N47" s="30">
        <f t="shared" si="6"/>
        <v>242400</v>
      </c>
    </row>
    <row r="48" spans="1:14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x14ac:dyDescent="0.35">
      <c r="A49" s="10" t="s">
        <v>105</v>
      </c>
      <c r="B49" s="30">
        <f t="shared" ref="B49:N49" si="8">B23-B36-B47</f>
        <v>19175</v>
      </c>
      <c r="C49" s="30">
        <f t="shared" si="8"/>
        <v>20806.25</v>
      </c>
      <c r="D49" s="30">
        <f t="shared" si="8"/>
        <v>22479.462500000009</v>
      </c>
      <c r="E49" s="30">
        <f t="shared" si="8"/>
        <v>17382.610124999992</v>
      </c>
      <c r="F49" s="30">
        <f t="shared" si="8"/>
        <v>19105.584266249993</v>
      </c>
      <c r="G49" s="30">
        <f t="shared" si="8"/>
        <v>20839.904973112498</v>
      </c>
      <c r="H49" s="30">
        <f t="shared" si="8"/>
        <v>14078.474407009606</v>
      </c>
      <c r="I49" s="30">
        <f t="shared" si="8"/>
        <v>15815.367322224891</v>
      </c>
      <c r="J49" s="30">
        <f t="shared" si="8"/>
        <v>17545.65301863254</v>
      </c>
      <c r="K49" s="30">
        <f t="shared" si="8"/>
        <v>19265.244044684194</v>
      </c>
      <c r="L49" s="30">
        <f t="shared" si="8"/>
        <v>20970.767637251192</v>
      </c>
      <c r="M49" s="30">
        <f t="shared" si="8"/>
        <v>22659.456486947747</v>
      </c>
      <c r="N49" s="30">
        <f t="shared" si="8"/>
        <v>230123.77478111256</v>
      </c>
    </row>
    <row r="50" spans="1:14" x14ac:dyDescent="0.35">
      <c r="A50" s="15" t="s">
        <v>106</v>
      </c>
      <c r="B50" s="34">
        <f>'Cash Flow'!B26*Assumptions!$B$46/12</f>
        <v>1416.6666666666667</v>
      </c>
      <c r="C50" s="34">
        <f>'Cash Flow'!C26*Assumptions!$B$46/12</f>
        <v>1388.3333333333333</v>
      </c>
      <c r="D50" s="34">
        <f>'Cash Flow'!D26*Assumptions!$B$46/12</f>
        <v>1360.0000000000002</v>
      </c>
      <c r="E50" s="34">
        <f>'Cash Flow'!E26*Assumptions!$B$46/12</f>
        <v>1331.6666666666667</v>
      </c>
      <c r="F50" s="34">
        <f>'Cash Flow'!F26*Assumptions!$B$46/12</f>
        <v>1303.3333333333335</v>
      </c>
      <c r="G50" s="34">
        <f>'Cash Flow'!G26*Assumptions!$B$46/12</f>
        <v>1275.0000000000002</v>
      </c>
      <c r="H50" s="34">
        <f>'Cash Flow'!H26*Assumptions!$B$46/12</f>
        <v>1246.6666666666667</v>
      </c>
      <c r="I50" s="34">
        <f>'Cash Flow'!I26*Assumptions!$B$46/12</f>
        <v>1218.3333333333335</v>
      </c>
      <c r="J50" s="34">
        <f>'Cash Flow'!J26*Assumptions!$B$46/12</f>
        <v>1190.0000000000002</v>
      </c>
      <c r="K50" s="34">
        <f>'Cash Flow'!K26*Assumptions!$B$46/12</f>
        <v>1161.6666666666667</v>
      </c>
      <c r="L50" s="34">
        <f>'Cash Flow'!L26*Assumptions!$B$46/12</f>
        <v>1133.3333333333335</v>
      </c>
      <c r="M50" s="34">
        <f>'Cash Flow'!M26*Assumptions!$B$46/12</f>
        <v>1105.0000000000002</v>
      </c>
      <c r="N50" s="30">
        <f>SUM(B50:M50)</f>
        <v>15130</v>
      </c>
    </row>
    <row r="51" spans="1:14" x14ac:dyDescent="0.35">
      <c r="A51" s="10" t="s">
        <v>107</v>
      </c>
      <c r="B51" s="35">
        <f t="shared" ref="B51:N51" si="9">B49-B50</f>
        <v>17758.333333333332</v>
      </c>
      <c r="C51" s="35">
        <f t="shared" si="9"/>
        <v>19417.916666666668</v>
      </c>
      <c r="D51" s="35">
        <f t="shared" si="9"/>
        <v>21119.462500000009</v>
      </c>
      <c r="E51" s="35">
        <f t="shared" si="9"/>
        <v>16050.943458333326</v>
      </c>
      <c r="F51" s="35">
        <f t="shared" si="9"/>
        <v>17802.250932916661</v>
      </c>
      <c r="G51" s="35">
        <f t="shared" si="9"/>
        <v>19564.904973112498</v>
      </c>
      <c r="H51" s="35">
        <f t="shared" si="9"/>
        <v>12831.80774034294</v>
      </c>
      <c r="I51" s="35">
        <f t="shared" si="9"/>
        <v>14597.033988891557</v>
      </c>
      <c r="J51" s="35">
        <f t="shared" si="9"/>
        <v>16355.65301863254</v>
      </c>
      <c r="K51" s="35">
        <f t="shared" si="9"/>
        <v>18103.577378017526</v>
      </c>
      <c r="L51" s="35">
        <f t="shared" si="9"/>
        <v>19837.43430391786</v>
      </c>
      <c r="M51" s="35">
        <f t="shared" si="9"/>
        <v>21554.456486947747</v>
      </c>
      <c r="N51" s="35">
        <f t="shared" si="9"/>
        <v>214993.77478111256</v>
      </c>
    </row>
    <row r="52" spans="1:14" x14ac:dyDescent="0.35">
      <c r="A52" s="32" t="s">
        <v>108</v>
      </c>
      <c r="B52" s="33">
        <f t="shared" ref="B52:N52" si="10">IF(B15=0,0,B51/B15)</f>
        <v>0.12859039343470913</v>
      </c>
      <c r="C52" s="33">
        <f t="shared" si="10"/>
        <v>0.13842749361373494</v>
      </c>
      <c r="D52" s="33">
        <f t="shared" si="10"/>
        <v>0.14820056636231685</v>
      </c>
      <c r="E52" s="33">
        <f t="shared" si="10"/>
        <v>0.11086680988688377</v>
      </c>
      <c r="F52" s="33">
        <f t="shared" si="10"/>
        <v>0.12104272225656203</v>
      </c>
      <c r="G52" s="33">
        <f t="shared" si="10"/>
        <v>0.13096832537796052</v>
      </c>
      <c r="H52" s="33">
        <f t="shared" si="10"/>
        <v>8.4584152278493765E-2</v>
      </c>
      <c r="I52" s="33">
        <f t="shared" si="10"/>
        <v>9.4773325363112448E-2</v>
      </c>
      <c r="J52" s="33">
        <f t="shared" si="10"/>
        <v>0.10462426067109702</v>
      </c>
      <c r="K52" s="33">
        <f t="shared" si="10"/>
        <v>0.11413151078321052</v>
      </c>
      <c r="L52" s="33">
        <f t="shared" si="10"/>
        <v>0.12329477983154487</v>
      </c>
      <c r="M52" s="33">
        <f t="shared" si="10"/>
        <v>0.13211763789532069</v>
      </c>
      <c r="N52" s="33">
        <f t="shared" si="10"/>
        <v>0.1189893750568133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8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6328125" defaultRowHeight="14.5" x14ac:dyDescent="0.35"/>
  <cols>
    <col min="1" max="1" width="34" customWidth="1"/>
    <col min="2" max="14" width="12" customWidth="1"/>
  </cols>
  <sheetData>
    <row r="1" spans="1:14" ht="18" x14ac:dyDescent="0.4">
      <c r="A1" s="1" t="s">
        <v>109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35">
      <c r="A2" s="2" t="s">
        <v>110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35">
      <c r="A3" s="24" t="str">
        <f>"Scenario: "&amp;Assumptions!B6</f>
        <v>Scenario: Base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35">
      <c r="A5" s="13" t="s">
        <v>79</v>
      </c>
      <c r="B5" s="14" t="s">
        <v>80</v>
      </c>
      <c r="C5" s="14" t="s">
        <v>81</v>
      </c>
      <c r="D5" s="14" t="s">
        <v>82</v>
      </c>
      <c r="E5" s="14" t="s">
        <v>83</v>
      </c>
      <c r="F5" s="14" t="s">
        <v>84</v>
      </c>
      <c r="G5" s="14" t="s">
        <v>85</v>
      </c>
      <c r="H5" s="14" t="s">
        <v>86</v>
      </c>
      <c r="I5" s="14" t="s">
        <v>87</v>
      </c>
      <c r="J5" s="14" t="s">
        <v>88</v>
      </c>
      <c r="K5" s="14" t="s">
        <v>89</v>
      </c>
      <c r="L5" s="14" t="s">
        <v>90</v>
      </c>
      <c r="M5" s="14" t="s">
        <v>91</v>
      </c>
      <c r="N5" s="14" t="s">
        <v>92</v>
      </c>
    </row>
    <row r="6" spans="1:14" x14ac:dyDescent="0.35">
      <c r="A6" s="10" t="s">
        <v>111</v>
      </c>
      <c r="B6" s="30">
        <f>Assumptions!$B$42</f>
        <v>250000</v>
      </c>
      <c r="C6" s="30">
        <f t="shared" ref="C6:M6" si="0">B22</f>
        <v>318518.33333333331</v>
      </c>
      <c r="D6" s="30">
        <f t="shared" si="0"/>
        <v>323066.25</v>
      </c>
      <c r="E6" s="30">
        <f t="shared" si="0"/>
        <v>314293.33250000002</v>
      </c>
      <c r="F6" s="30">
        <f t="shared" si="0"/>
        <v>290435.93055833335</v>
      </c>
      <c r="G6" s="30">
        <f t="shared" si="0"/>
        <v>293319.26194925001</v>
      </c>
      <c r="H6" s="30">
        <f t="shared" si="0"/>
        <v>272959.19587870251</v>
      </c>
      <c r="I6" s="30">
        <f t="shared" si="0"/>
        <v>270863.76658763364</v>
      </c>
      <c r="J6" s="30">
        <f t="shared" si="0"/>
        <v>270534.45768841036</v>
      </c>
      <c r="K6" s="30">
        <f t="shared" si="0"/>
        <v>236967.29166895885</v>
      </c>
      <c r="L6" s="30">
        <f t="shared" si="0"/>
        <v>240153.75383308216</v>
      </c>
      <c r="M6" s="30">
        <f t="shared" si="0"/>
        <v>245081.5755542976</v>
      </c>
      <c r="N6" s="3"/>
    </row>
    <row r="7" spans="1:14" x14ac:dyDescent="0.35">
      <c r="A7" s="25" t="s">
        <v>112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 x14ac:dyDescent="0.35">
      <c r="A8" s="15" t="s">
        <v>113</v>
      </c>
      <c r="B8" s="34">
        <f>Assumptions!$B$43+Budget!B15*Assumptions!$B$44</f>
        <v>202860</v>
      </c>
      <c r="C8" s="34">
        <f>Budget!C15*Assumptions!$B$44+Budget!B15*(1-Assumptions!$B$44)</f>
        <v>139405</v>
      </c>
      <c r="D8" s="34">
        <f>Budget!D15*Assumptions!$B$44+Budget!C15*(1-Assumptions!$B$44)</f>
        <v>141613.57</v>
      </c>
      <c r="E8" s="34">
        <f>Budget!E15*Assumptions!$B$44+Budget!D15*(1-Assumptions!$B$44)</f>
        <v>143868.4681</v>
      </c>
      <c r="F8" s="34">
        <f>Budget!F15*Assumptions!$B$44+Budget!E15*(1-Assumptions!$B$44)</f>
        <v>146155.192813</v>
      </c>
      <c r="G8" s="34">
        <f>Budget!G15*Assumptions!$B$44+Budget!F15*(1-Assumptions!$B$44)</f>
        <v>148461.56892048998</v>
      </c>
      <c r="H8" s="34">
        <f>Budget!H15*Assumptions!$B$44+Budget!G15*(1-Assumptions!$B$44)</f>
        <v>150777.39551126768</v>
      </c>
      <c r="I8" s="34">
        <f>Budget!I15*Assumptions!$B$44+Budget!H15*(1-Assumptions!$B$44)</f>
        <v>153094.14687485169</v>
      </c>
      <c r="J8" s="34">
        <f>Budget!J15*Assumptions!$B$44+Budget!I15*(1-Assumptions!$B$44)</f>
        <v>155404.71832009265</v>
      </c>
      <c r="K8" s="34">
        <f>Budget!K15*Assumptions!$B$44+Budget!J15*(1-Assumptions!$B$44)</f>
        <v>157703.21017901803</v>
      </c>
      <c r="L8" s="34">
        <f>Budget!L15*Assumptions!$B$44+Budget!K15*(1-Assumptions!$B$44)</f>
        <v>159984.74426696586</v>
      </c>
      <c r="M8" s="34">
        <f>Budget!M15*Assumptions!$B$44+Budget!L15*(1-Assumptions!$B$44)</f>
        <v>162245.3079294255</v>
      </c>
      <c r="N8" s="30">
        <f>SUM(B8:M8)</f>
        <v>1861573.3229151114</v>
      </c>
    </row>
    <row r="9" spans="1:14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x14ac:dyDescent="0.35">
      <c r="A10" s="25" t="s">
        <v>114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x14ac:dyDescent="0.35">
      <c r="A11" s="15" t="s">
        <v>96</v>
      </c>
      <c r="B11" s="34">
        <f>Budget!B21</f>
        <v>34525</v>
      </c>
      <c r="C11" s="34">
        <f>Budget!C21</f>
        <v>35068.75</v>
      </c>
      <c r="D11" s="34">
        <f>Budget!D21</f>
        <v>35626.487500000003</v>
      </c>
      <c r="E11" s="34">
        <f>Budget!E21</f>
        <v>36194.203374999997</v>
      </c>
      <c r="F11" s="34">
        <f>Budget!F21</f>
        <v>36768.528088749998</v>
      </c>
      <c r="G11" s="34">
        <f>Budget!G21</f>
        <v>37346.634991037499</v>
      </c>
      <c r="H11" s="34">
        <f>Budget!H21</f>
        <v>37926.158135669866</v>
      </c>
      <c r="I11" s="34">
        <f>Budget!I21</f>
        <v>38505.12244074163</v>
      </c>
      <c r="J11" s="34">
        <f>Budget!J21</f>
        <v>39081.88433954418</v>
      </c>
      <c r="K11" s="34">
        <f>Budget!K21</f>
        <v>39655.081348228065</v>
      </c>
      <c r="L11" s="34">
        <f>Budget!L21</f>
        <v>40223.589212417064</v>
      </c>
      <c r="M11" s="34">
        <f>Budget!M21</f>
        <v>40786.485495649249</v>
      </c>
      <c r="N11" s="30">
        <f t="shared" ref="N11:N19" si="1">SUM(B11:M11)</f>
        <v>451707.92492703756</v>
      </c>
    </row>
    <row r="12" spans="1:14" x14ac:dyDescent="0.35">
      <c r="A12" s="15" t="s">
        <v>100</v>
      </c>
      <c r="B12" s="34">
        <f>Budget!B36</f>
        <v>64200</v>
      </c>
      <c r="C12" s="34">
        <f>Budget!C36</f>
        <v>64200</v>
      </c>
      <c r="D12" s="34">
        <f>Budget!D36</f>
        <v>64200</v>
      </c>
      <c r="E12" s="34">
        <f>Budget!E36</f>
        <v>71000</v>
      </c>
      <c r="F12" s="34">
        <f>Budget!F36</f>
        <v>71000</v>
      </c>
      <c r="G12" s="34">
        <f>Budget!G36</f>
        <v>71000</v>
      </c>
      <c r="H12" s="34">
        <f>Budget!H36</f>
        <v>79500</v>
      </c>
      <c r="I12" s="34">
        <f>Budget!I36</f>
        <v>79500</v>
      </c>
      <c r="J12" s="34">
        <f>Budget!J36</f>
        <v>79500</v>
      </c>
      <c r="K12" s="34">
        <f>Budget!K36</f>
        <v>79500</v>
      </c>
      <c r="L12" s="34">
        <f>Budget!L36</f>
        <v>79500</v>
      </c>
      <c r="M12" s="34">
        <f>Budget!M36</f>
        <v>79500</v>
      </c>
      <c r="N12" s="30">
        <f t="shared" si="1"/>
        <v>882600</v>
      </c>
    </row>
    <row r="13" spans="1:14" x14ac:dyDescent="0.35">
      <c r="A13" s="15" t="s">
        <v>103</v>
      </c>
      <c r="B13" s="34">
        <f>Budget!B47</f>
        <v>20200</v>
      </c>
      <c r="C13" s="34">
        <f>Budget!C47</f>
        <v>20200</v>
      </c>
      <c r="D13" s="34">
        <f>Budget!D47</f>
        <v>20200</v>
      </c>
      <c r="E13" s="34">
        <f>Budget!E47</f>
        <v>20200</v>
      </c>
      <c r="F13" s="34">
        <f>Budget!F47</f>
        <v>20200</v>
      </c>
      <c r="G13" s="34">
        <f>Budget!G47</f>
        <v>20200</v>
      </c>
      <c r="H13" s="34">
        <f>Budget!H47</f>
        <v>20200</v>
      </c>
      <c r="I13" s="34">
        <f>Budget!I47</f>
        <v>20200</v>
      </c>
      <c r="J13" s="34">
        <f>Budget!J47</f>
        <v>20200</v>
      </c>
      <c r="K13" s="34">
        <f>Budget!K47</f>
        <v>20200</v>
      </c>
      <c r="L13" s="34">
        <f>Budget!L47</f>
        <v>20200</v>
      </c>
      <c r="M13" s="34">
        <f>Budget!M47</f>
        <v>20200</v>
      </c>
      <c r="N13" s="30">
        <f t="shared" si="1"/>
        <v>242400</v>
      </c>
    </row>
    <row r="14" spans="1:14" x14ac:dyDescent="0.35">
      <c r="A14" s="15" t="s">
        <v>115</v>
      </c>
      <c r="B14" s="34">
        <f>Budget!B50</f>
        <v>1416.6666666666667</v>
      </c>
      <c r="C14" s="34">
        <f>Budget!C50</f>
        <v>1388.3333333333333</v>
      </c>
      <c r="D14" s="34">
        <f>Budget!D50</f>
        <v>1360.0000000000002</v>
      </c>
      <c r="E14" s="34">
        <f>Budget!E50</f>
        <v>1331.6666666666667</v>
      </c>
      <c r="F14" s="34">
        <f>Budget!F50</f>
        <v>1303.3333333333335</v>
      </c>
      <c r="G14" s="34">
        <f>Budget!G50</f>
        <v>1275.0000000000002</v>
      </c>
      <c r="H14" s="34">
        <f>Budget!H50</f>
        <v>1246.6666666666667</v>
      </c>
      <c r="I14" s="34">
        <f>Budget!I50</f>
        <v>1218.3333333333335</v>
      </c>
      <c r="J14" s="34">
        <f>Budget!J50</f>
        <v>1190.0000000000002</v>
      </c>
      <c r="K14" s="34">
        <f>Budget!K50</f>
        <v>1161.6666666666667</v>
      </c>
      <c r="L14" s="34">
        <f>Budget!L50</f>
        <v>1133.3333333333335</v>
      </c>
      <c r="M14" s="34">
        <f>Budget!M50</f>
        <v>1105.0000000000002</v>
      </c>
      <c r="N14" s="30">
        <f t="shared" si="1"/>
        <v>15130</v>
      </c>
    </row>
    <row r="15" spans="1:14" x14ac:dyDescent="0.35">
      <c r="A15" s="15" t="s">
        <v>116</v>
      </c>
      <c r="B15" s="29">
        <f t="shared" ref="B15:M15" si="2">B27</f>
        <v>4000</v>
      </c>
      <c r="C15" s="29">
        <f t="shared" si="2"/>
        <v>4000</v>
      </c>
      <c r="D15" s="29">
        <f t="shared" si="2"/>
        <v>4000</v>
      </c>
      <c r="E15" s="29">
        <f t="shared" si="2"/>
        <v>4000</v>
      </c>
      <c r="F15" s="29">
        <f t="shared" si="2"/>
        <v>4000</v>
      </c>
      <c r="G15" s="29">
        <f t="shared" si="2"/>
        <v>4000</v>
      </c>
      <c r="H15" s="29">
        <f t="shared" si="2"/>
        <v>4000</v>
      </c>
      <c r="I15" s="29">
        <f t="shared" si="2"/>
        <v>4000</v>
      </c>
      <c r="J15" s="29">
        <f t="shared" si="2"/>
        <v>4000</v>
      </c>
      <c r="K15" s="29">
        <f t="shared" si="2"/>
        <v>4000</v>
      </c>
      <c r="L15" s="29">
        <f t="shared" si="2"/>
        <v>4000</v>
      </c>
      <c r="M15" s="29">
        <f t="shared" si="2"/>
        <v>4000</v>
      </c>
      <c r="N15" s="30">
        <f t="shared" si="1"/>
        <v>48000</v>
      </c>
    </row>
    <row r="16" spans="1:14" x14ac:dyDescent="0.35">
      <c r="A16" s="15" t="s">
        <v>117</v>
      </c>
      <c r="B16" s="21">
        <v>0</v>
      </c>
      <c r="C16" s="21">
        <v>0</v>
      </c>
      <c r="D16" s="21">
        <v>15000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10000</v>
      </c>
      <c r="K16" s="21">
        <v>0</v>
      </c>
      <c r="L16" s="21">
        <v>0</v>
      </c>
      <c r="M16" s="21">
        <v>0</v>
      </c>
      <c r="N16" s="30">
        <f t="shared" si="1"/>
        <v>25000</v>
      </c>
    </row>
    <row r="17" spans="1:14" x14ac:dyDescent="0.35">
      <c r="A17" s="15" t="s">
        <v>118</v>
      </c>
      <c r="B17" s="21">
        <v>10000</v>
      </c>
      <c r="C17" s="21">
        <v>10000</v>
      </c>
      <c r="D17" s="21">
        <v>10000</v>
      </c>
      <c r="E17" s="21">
        <v>10000</v>
      </c>
      <c r="F17" s="21">
        <v>10000</v>
      </c>
      <c r="G17" s="21">
        <v>10000</v>
      </c>
      <c r="H17" s="21">
        <v>10000</v>
      </c>
      <c r="I17" s="21">
        <v>10000</v>
      </c>
      <c r="J17" s="21">
        <v>10000</v>
      </c>
      <c r="K17" s="21">
        <v>10000</v>
      </c>
      <c r="L17" s="21">
        <v>10000</v>
      </c>
      <c r="M17" s="21">
        <v>10000</v>
      </c>
      <c r="N17" s="30">
        <f t="shared" si="1"/>
        <v>120000</v>
      </c>
    </row>
    <row r="18" spans="1:14" x14ac:dyDescent="0.35">
      <c r="A18" s="15" t="s">
        <v>119</v>
      </c>
      <c r="B18" s="21">
        <v>0</v>
      </c>
      <c r="C18" s="21">
        <v>0</v>
      </c>
      <c r="D18" s="21">
        <v>0</v>
      </c>
      <c r="E18" s="21">
        <v>25000</v>
      </c>
      <c r="F18" s="21">
        <v>0</v>
      </c>
      <c r="G18" s="21">
        <v>25000</v>
      </c>
      <c r="H18" s="21">
        <v>0</v>
      </c>
      <c r="I18" s="21">
        <v>0</v>
      </c>
      <c r="J18" s="21">
        <v>25000</v>
      </c>
      <c r="K18" s="21">
        <v>0</v>
      </c>
      <c r="L18" s="21">
        <v>0</v>
      </c>
      <c r="M18" s="21">
        <v>0</v>
      </c>
      <c r="N18" s="30">
        <f t="shared" si="1"/>
        <v>75000</v>
      </c>
    </row>
    <row r="19" spans="1:14" x14ac:dyDescent="0.35">
      <c r="A19" s="10" t="s">
        <v>120</v>
      </c>
      <c r="B19" s="31">
        <f t="shared" ref="B19:M19" si="3">SUM(B11:B18)</f>
        <v>134341.66666666669</v>
      </c>
      <c r="C19" s="31">
        <f t="shared" si="3"/>
        <v>134857.08333333331</v>
      </c>
      <c r="D19" s="31">
        <f t="shared" si="3"/>
        <v>150386.48749999999</v>
      </c>
      <c r="E19" s="31">
        <f t="shared" si="3"/>
        <v>167725.87004166667</v>
      </c>
      <c r="F19" s="31">
        <f t="shared" si="3"/>
        <v>143271.86142208334</v>
      </c>
      <c r="G19" s="31">
        <f t="shared" si="3"/>
        <v>168821.63499103748</v>
      </c>
      <c r="H19" s="31">
        <f t="shared" si="3"/>
        <v>152872.82480233652</v>
      </c>
      <c r="I19" s="31">
        <f t="shared" si="3"/>
        <v>153423.45577407497</v>
      </c>
      <c r="J19" s="31">
        <f t="shared" si="3"/>
        <v>188971.88433954417</v>
      </c>
      <c r="K19" s="31">
        <f t="shared" si="3"/>
        <v>154516.74801489472</v>
      </c>
      <c r="L19" s="31">
        <f t="shared" si="3"/>
        <v>155056.92254575042</v>
      </c>
      <c r="M19" s="31">
        <f t="shared" si="3"/>
        <v>155591.48549564925</v>
      </c>
      <c r="N19" s="30">
        <f t="shared" si="1"/>
        <v>1859837.9249270374</v>
      </c>
    </row>
    <row r="20" spans="1:14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x14ac:dyDescent="0.35">
      <c r="A21" s="10" t="s">
        <v>121</v>
      </c>
      <c r="B21" s="30">
        <f t="shared" ref="B21:N21" si="4">B8-B19</f>
        <v>68518.333333333314</v>
      </c>
      <c r="C21" s="30">
        <f t="shared" si="4"/>
        <v>4547.9166666666861</v>
      </c>
      <c r="D21" s="30">
        <f t="shared" si="4"/>
        <v>-8772.9174999999814</v>
      </c>
      <c r="E21" s="30">
        <f t="shared" si="4"/>
        <v>-23857.401941666671</v>
      </c>
      <c r="F21" s="30">
        <f t="shared" si="4"/>
        <v>2883.3313909166609</v>
      </c>
      <c r="G21" s="30">
        <f t="shared" si="4"/>
        <v>-20360.066070547502</v>
      </c>
      <c r="H21" s="30">
        <f t="shared" si="4"/>
        <v>-2095.4292910688382</v>
      </c>
      <c r="I21" s="30">
        <f t="shared" si="4"/>
        <v>-329.3088992232806</v>
      </c>
      <c r="J21" s="30">
        <f t="shared" si="4"/>
        <v>-33567.166019451513</v>
      </c>
      <c r="K21" s="30">
        <f t="shared" si="4"/>
        <v>3186.4621641233098</v>
      </c>
      <c r="L21" s="30">
        <f t="shared" si="4"/>
        <v>4927.8217212154414</v>
      </c>
      <c r="M21" s="30">
        <f t="shared" si="4"/>
        <v>6653.8224337762513</v>
      </c>
      <c r="N21" s="30">
        <f t="shared" si="4"/>
        <v>1735.3979880739935</v>
      </c>
    </row>
    <row r="22" spans="1:14" x14ac:dyDescent="0.35">
      <c r="A22" s="10" t="s">
        <v>122</v>
      </c>
      <c r="B22" s="35">
        <f t="shared" ref="B22:M22" si="5">B6+B21</f>
        <v>318518.33333333331</v>
      </c>
      <c r="C22" s="35">
        <f t="shared" si="5"/>
        <v>323066.25</v>
      </c>
      <c r="D22" s="35">
        <f t="shared" si="5"/>
        <v>314293.33250000002</v>
      </c>
      <c r="E22" s="35">
        <f t="shared" si="5"/>
        <v>290435.93055833335</v>
      </c>
      <c r="F22" s="35">
        <f t="shared" si="5"/>
        <v>293319.26194925001</v>
      </c>
      <c r="G22" s="35">
        <f t="shared" si="5"/>
        <v>272959.19587870251</v>
      </c>
      <c r="H22" s="35">
        <f t="shared" si="5"/>
        <v>270863.76658763364</v>
      </c>
      <c r="I22" s="35">
        <f t="shared" si="5"/>
        <v>270534.45768841036</v>
      </c>
      <c r="J22" s="35">
        <f t="shared" si="5"/>
        <v>236967.29166895885</v>
      </c>
      <c r="K22" s="35">
        <f t="shared" si="5"/>
        <v>240153.75383308216</v>
      </c>
      <c r="L22" s="35">
        <f t="shared" si="5"/>
        <v>245081.5755542976</v>
      </c>
      <c r="M22" s="35">
        <f t="shared" si="5"/>
        <v>251735.39798807385</v>
      </c>
      <c r="N22" s="3"/>
    </row>
    <row r="23" spans="1:14" x14ac:dyDescent="0.35">
      <c r="A23" s="32" t="s">
        <v>123</v>
      </c>
      <c r="B23" s="36" t="str">
        <f>IF(B22&lt;Assumptions!$B$48,"ALERT","OK")</f>
        <v>OK</v>
      </c>
      <c r="C23" s="36" t="str">
        <f>IF(C22&lt;Assumptions!$B$48,"ALERT","OK")</f>
        <v>OK</v>
      </c>
      <c r="D23" s="36" t="str">
        <f>IF(D22&lt;Assumptions!$B$48,"ALERT","OK")</f>
        <v>OK</v>
      </c>
      <c r="E23" s="36" t="str">
        <f>IF(E22&lt;Assumptions!$B$48,"ALERT","OK")</f>
        <v>OK</v>
      </c>
      <c r="F23" s="36" t="str">
        <f>IF(F22&lt;Assumptions!$B$48,"ALERT","OK")</f>
        <v>OK</v>
      </c>
      <c r="G23" s="36" t="str">
        <f>IF(G22&lt;Assumptions!$B$48,"ALERT","OK")</f>
        <v>OK</v>
      </c>
      <c r="H23" s="36" t="str">
        <f>IF(H22&lt;Assumptions!$B$48,"ALERT","OK")</f>
        <v>OK</v>
      </c>
      <c r="I23" s="36" t="str">
        <f>IF(I22&lt;Assumptions!$B$48,"ALERT","OK")</f>
        <v>OK</v>
      </c>
      <c r="J23" s="36" t="str">
        <f>IF(J22&lt;Assumptions!$B$48,"ALERT","OK")</f>
        <v>OK</v>
      </c>
      <c r="K23" s="36" t="str">
        <f>IF(K22&lt;Assumptions!$B$48,"ALERT","OK")</f>
        <v>OK</v>
      </c>
      <c r="L23" s="36" t="str">
        <f>IF(L22&lt;Assumptions!$B$48,"ALERT","OK")</f>
        <v>OK</v>
      </c>
      <c r="M23" s="36" t="str">
        <f>IF(M22&lt;Assumptions!$B$48,"ALERT","OK")</f>
        <v>OK</v>
      </c>
      <c r="N23" s="3"/>
    </row>
    <row r="24" spans="1:14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35">
      <c r="A25" s="25" t="s">
        <v>124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 x14ac:dyDescent="0.35">
      <c r="A26" s="15" t="s">
        <v>125</v>
      </c>
      <c r="B26" s="29">
        <f>Assumptions!$B$45</f>
        <v>200000</v>
      </c>
      <c r="C26" s="29">
        <f t="shared" ref="C26:M26" si="6">B28</f>
        <v>196000</v>
      </c>
      <c r="D26" s="29">
        <f t="shared" si="6"/>
        <v>192000</v>
      </c>
      <c r="E26" s="29">
        <f t="shared" si="6"/>
        <v>188000</v>
      </c>
      <c r="F26" s="29">
        <f t="shared" si="6"/>
        <v>184000</v>
      </c>
      <c r="G26" s="29">
        <f t="shared" si="6"/>
        <v>180000</v>
      </c>
      <c r="H26" s="29">
        <f t="shared" si="6"/>
        <v>176000</v>
      </c>
      <c r="I26" s="29">
        <f t="shared" si="6"/>
        <v>172000</v>
      </c>
      <c r="J26" s="29">
        <f t="shared" si="6"/>
        <v>168000</v>
      </c>
      <c r="K26" s="29">
        <f t="shared" si="6"/>
        <v>164000</v>
      </c>
      <c r="L26" s="29">
        <f t="shared" si="6"/>
        <v>160000</v>
      </c>
      <c r="M26" s="29">
        <f t="shared" si="6"/>
        <v>156000</v>
      </c>
      <c r="N26" s="3"/>
    </row>
    <row r="27" spans="1:14" x14ac:dyDescent="0.35">
      <c r="A27" s="15" t="s">
        <v>126</v>
      </c>
      <c r="B27" s="29">
        <f>MIN(B26,Assumptions!$B$47)</f>
        <v>4000</v>
      </c>
      <c r="C27" s="29">
        <f>MIN(C26,Assumptions!$B$47)</f>
        <v>4000</v>
      </c>
      <c r="D27" s="29">
        <f>MIN(D26,Assumptions!$B$47)</f>
        <v>4000</v>
      </c>
      <c r="E27" s="29">
        <f>MIN(E26,Assumptions!$B$47)</f>
        <v>4000</v>
      </c>
      <c r="F27" s="29">
        <f>MIN(F26,Assumptions!$B$47)</f>
        <v>4000</v>
      </c>
      <c r="G27" s="29">
        <f>MIN(G26,Assumptions!$B$47)</f>
        <v>4000</v>
      </c>
      <c r="H27" s="29">
        <f>MIN(H26,Assumptions!$B$47)</f>
        <v>4000</v>
      </c>
      <c r="I27" s="29">
        <f>MIN(I26,Assumptions!$B$47)</f>
        <v>4000</v>
      </c>
      <c r="J27" s="29">
        <f>MIN(J26,Assumptions!$B$47)</f>
        <v>4000</v>
      </c>
      <c r="K27" s="29">
        <f>MIN(K26,Assumptions!$B$47)</f>
        <v>4000</v>
      </c>
      <c r="L27" s="29">
        <f>MIN(L26,Assumptions!$B$47)</f>
        <v>4000</v>
      </c>
      <c r="M27" s="29">
        <f>MIN(M26,Assumptions!$B$47)</f>
        <v>4000</v>
      </c>
      <c r="N27" s="30">
        <f>SUM(B27:M27)</f>
        <v>48000</v>
      </c>
    </row>
    <row r="28" spans="1:14" x14ac:dyDescent="0.35">
      <c r="A28" s="10" t="s">
        <v>127</v>
      </c>
      <c r="B28" s="30">
        <f t="shared" ref="B28:M28" si="7">B26-B27</f>
        <v>196000</v>
      </c>
      <c r="C28" s="30">
        <f t="shared" si="7"/>
        <v>192000</v>
      </c>
      <c r="D28" s="30">
        <f t="shared" si="7"/>
        <v>188000</v>
      </c>
      <c r="E28" s="30">
        <f t="shared" si="7"/>
        <v>184000</v>
      </c>
      <c r="F28" s="30">
        <f t="shared" si="7"/>
        <v>180000</v>
      </c>
      <c r="G28" s="30">
        <f t="shared" si="7"/>
        <v>176000</v>
      </c>
      <c r="H28" s="30">
        <f t="shared" si="7"/>
        <v>172000</v>
      </c>
      <c r="I28" s="30">
        <f t="shared" si="7"/>
        <v>168000</v>
      </c>
      <c r="J28" s="30">
        <f t="shared" si="7"/>
        <v>164000</v>
      </c>
      <c r="K28" s="30">
        <f t="shared" si="7"/>
        <v>160000</v>
      </c>
      <c r="L28" s="30">
        <f t="shared" si="7"/>
        <v>156000</v>
      </c>
      <c r="M28" s="30">
        <f t="shared" si="7"/>
        <v>152000</v>
      </c>
      <c r="N28" s="3"/>
    </row>
  </sheetData>
  <conditionalFormatting sqref="B23:M23">
    <cfRule type="cellIs" dxfId="2" priority="2" operator="equal">
      <formula>"ALERT"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3"/>
  <sheetViews>
    <sheetView showGridLines="0" zoomScaleNormal="100" workbookViewId="0"/>
  </sheetViews>
  <sheetFormatPr defaultColWidth="8.6328125" defaultRowHeight="14.5" x14ac:dyDescent="0.35"/>
  <cols>
    <col min="1" max="1" width="30" customWidth="1"/>
    <col min="2" max="14" width="12" customWidth="1"/>
  </cols>
  <sheetData>
    <row r="1" spans="1:14" ht="18" x14ac:dyDescent="0.4">
      <c r="A1" s="1" t="s">
        <v>128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35">
      <c r="A2" s="2" t="s">
        <v>129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35">
      <c r="A4" s="13" t="s">
        <v>79</v>
      </c>
      <c r="B4" s="14" t="s">
        <v>80</v>
      </c>
      <c r="C4" s="14" t="s">
        <v>81</v>
      </c>
      <c r="D4" s="14" t="s">
        <v>82</v>
      </c>
      <c r="E4" s="14" t="s">
        <v>83</v>
      </c>
      <c r="F4" s="14" t="s">
        <v>84</v>
      </c>
      <c r="G4" s="14" t="s">
        <v>85</v>
      </c>
      <c r="H4" s="14" t="s">
        <v>86</v>
      </c>
      <c r="I4" s="14" t="s">
        <v>87</v>
      </c>
      <c r="J4" s="14" t="s">
        <v>88</v>
      </c>
      <c r="K4" s="14" t="s">
        <v>89</v>
      </c>
      <c r="L4" s="14" t="s">
        <v>90</v>
      </c>
      <c r="M4" s="14" t="s">
        <v>91</v>
      </c>
      <c r="N4" s="14" t="s">
        <v>130</v>
      </c>
    </row>
    <row r="5" spans="1:14" x14ac:dyDescent="0.35">
      <c r="A5" s="15" t="s">
        <v>95</v>
      </c>
      <c r="B5" s="21">
        <v>128000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30">
        <f t="shared" ref="N5:N11" si="0">SUM(B5:M5)</f>
        <v>128000</v>
      </c>
    </row>
    <row r="6" spans="1:14" x14ac:dyDescent="0.35">
      <c r="A6" s="15" t="s">
        <v>97</v>
      </c>
      <c r="B6" s="21">
        <v>33000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30">
        <f t="shared" si="0"/>
        <v>33000</v>
      </c>
    </row>
    <row r="7" spans="1:14" x14ac:dyDescent="0.35">
      <c r="A7" s="10" t="s">
        <v>98</v>
      </c>
      <c r="B7" s="29">
        <f t="shared" ref="B7:M7" si="1">B5-B6</f>
        <v>95000</v>
      </c>
      <c r="C7" s="29">
        <f t="shared" si="1"/>
        <v>0</v>
      </c>
      <c r="D7" s="29">
        <f t="shared" si="1"/>
        <v>0</v>
      </c>
      <c r="E7" s="29">
        <f t="shared" si="1"/>
        <v>0</v>
      </c>
      <c r="F7" s="29">
        <f t="shared" si="1"/>
        <v>0</v>
      </c>
      <c r="G7" s="29">
        <f t="shared" si="1"/>
        <v>0</v>
      </c>
      <c r="H7" s="29">
        <f t="shared" si="1"/>
        <v>0</v>
      </c>
      <c r="I7" s="29">
        <f t="shared" si="1"/>
        <v>0</v>
      </c>
      <c r="J7" s="29">
        <f t="shared" si="1"/>
        <v>0</v>
      </c>
      <c r="K7" s="29">
        <f t="shared" si="1"/>
        <v>0</v>
      </c>
      <c r="L7" s="29">
        <f t="shared" si="1"/>
        <v>0</v>
      </c>
      <c r="M7" s="29">
        <f t="shared" si="1"/>
        <v>0</v>
      </c>
      <c r="N7" s="30">
        <f t="shared" si="0"/>
        <v>95000</v>
      </c>
    </row>
    <row r="8" spans="1:14" x14ac:dyDescent="0.35">
      <c r="A8" s="15" t="s">
        <v>102</v>
      </c>
      <c r="B8" s="21">
        <v>66000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30">
        <f t="shared" si="0"/>
        <v>66000</v>
      </c>
    </row>
    <row r="9" spans="1:14" x14ac:dyDescent="0.35">
      <c r="A9" s="15" t="s">
        <v>104</v>
      </c>
      <c r="B9" s="21">
        <v>21500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>
        <f t="shared" si="0"/>
        <v>21500</v>
      </c>
    </row>
    <row r="10" spans="1:14" x14ac:dyDescent="0.35">
      <c r="A10" s="15" t="s">
        <v>106</v>
      </c>
      <c r="B10" s="21">
        <v>1400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30">
        <f t="shared" si="0"/>
        <v>1400</v>
      </c>
    </row>
    <row r="11" spans="1:14" x14ac:dyDescent="0.35">
      <c r="A11" s="10" t="s">
        <v>107</v>
      </c>
      <c r="B11" s="29">
        <f t="shared" ref="B11:M11" si="2">B7-B8-B9-B10</f>
        <v>6100</v>
      </c>
      <c r="C11" s="29">
        <f t="shared" si="2"/>
        <v>0</v>
      </c>
      <c r="D11" s="29">
        <f t="shared" si="2"/>
        <v>0</v>
      </c>
      <c r="E11" s="29">
        <f t="shared" si="2"/>
        <v>0</v>
      </c>
      <c r="F11" s="29">
        <f t="shared" si="2"/>
        <v>0</v>
      </c>
      <c r="G11" s="29">
        <f t="shared" si="2"/>
        <v>0</v>
      </c>
      <c r="H11" s="29">
        <f t="shared" si="2"/>
        <v>0</v>
      </c>
      <c r="I11" s="29">
        <f t="shared" si="2"/>
        <v>0</v>
      </c>
      <c r="J11" s="29">
        <f t="shared" si="2"/>
        <v>0</v>
      </c>
      <c r="K11" s="29">
        <f t="shared" si="2"/>
        <v>0</v>
      </c>
      <c r="L11" s="29">
        <f t="shared" si="2"/>
        <v>0</v>
      </c>
      <c r="M11" s="29">
        <f t="shared" si="2"/>
        <v>0</v>
      </c>
      <c r="N11" s="30">
        <f t="shared" si="0"/>
        <v>6100</v>
      </c>
    </row>
    <row r="12" spans="1:14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35">
      <c r="A13" s="2" t="s">
        <v>131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7"/>
  <sheetViews>
    <sheetView showGridLines="0" zoomScaleNormal="100" workbookViewId="0"/>
  </sheetViews>
  <sheetFormatPr defaultColWidth="8.6328125" defaultRowHeight="14.5" x14ac:dyDescent="0.35"/>
  <cols>
    <col min="1" max="1" width="30" customWidth="1"/>
    <col min="2" max="5" width="14" customWidth="1"/>
    <col min="6" max="6" width="3" customWidth="1"/>
    <col min="7" max="10" width="14" customWidth="1"/>
  </cols>
  <sheetData>
    <row r="1" spans="1:10" ht="18" x14ac:dyDescent="0.4">
      <c r="A1" s="1" t="s">
        <v>132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35">
      <c r="A2" s="2" t="s">
        <v>133</v>
      </c>
      <c r="B2" s="3"/>
      <c r="C2" s="3"/>
      <c r="D2" s="3"/>
      <c r="E2" s="3"/>
      <c r="F2" s="3"/>
      <c r="G2" s="3"/>
      <c r="H2" s="3"/>
      <c r="I2" s="3"/>
      <c r="J2" s="3"/>
    </row>
    <row r="3" spans="1:10" x14ac:dyDescent="0.3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x14ac:dyDescent="0.35">
      <c r="A4" s="10" t="s">
        <v>134</v>
      </c>
      <c r="B4" s="12" t="s">
        <v>80</v>
      </c>
      <c r="C4" s="37">
        <f>MATCH(B4,{"Jan","Feb","Mar","Apr","May","Jun","Jul","Aug","Sep","Oct","Nov","Dec"},0)</f>
        <v>1</v>
      </c>
      <c r="D4" s="3"/>
      <c r="E4" s="3"/>
      <c r="F4" s="3"/>
      <c r="G4" s="3"/>
      <c r="H4" s="3"/>
      <c r="I4" s="3"/>
      <c r="J4" s="3"/>
    </row>
    <row r="5" spans="1:10" x14ac:dyDescent="0.3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26.5" x14ac:dyDescent="0.35">
      <c r="A6" s="13"/>
      <c r="B6" s="14" t="s">
        <v>135</v>
      </c>
      <c r="C6" s="14" t="s">
        <v>136</v>
      </c>
      <c r="D6" s="14" t="s">
        <v>137</v>
      </c>
      <c r="E6" s="14" t="s">
        <v>138</v>
      </c>
      <c r="F6" s="14"/>
      <c r="G6" s="14" t="s">
        <v>139</v>
      </c>
      <c r="H6" s="14" t="s">
        <v>140</v>
      </c>
      <c r="I6" s="14" t="s">
        <v>141</v>
      </c>
      <c r="J6" s="14" t="s">
        <v>142</v>
      </c>
    </row>
    <row r="7" spans="1:10" x14ac:dyDescent="0.35">
      <c r="A7" s="10" t="s">
        <v>95</v>
      </c>
      <c r="B7" s="34">
        <f>INDEX(Budget!$B$15:$M$15,$C$4)</f>
        <v>138100</v>
      </c>
      <c r="C7" s="34">
        <f>INDEX(Actuals!$B$5:$M$5,$C$4)</f>
        <v>128000</v>
      </c>
      <c r="D7" s="29">
        <f>C7-B7</f>
        <v>-10100</v>
      </c>
      <c r="E7" s="38">
        <f t="shared" ref="E7:E13" si="0">IF(B7=0,0,D7/ABS(B7))</f>
        <v>-7.3135409123823311E-2</v>
      </c>
      <c r="F7" s="3"/>
      <c r="G7" s="34">
        <f>SUMPRODUCT((COLUMN(Budget!$B$15:$M$15)-1&lt;=$C$4)*Budget!$B$15:$M$15)</f>
        <v>138100</v>
      </c>
      <c r="H7" s="34">
        <f>SUMPRODUCT((COLUMN(Actuals!$B$5:$M$5)-1&lt;=$C$4)*Actuals!$B$5:$M$5)</f>
        <v>128000</v>
      </c>
      <c r="I7" s="29">
        <f>H7-G7</f>
        <v>-10100</v>
      </c>
      <c r="J7" s="38">
        <f t="shared" ref="J7:J13" si="1">IF(G7=0,0,I7/ABS(G7))</f>
        <v>-7.3135409123823311E-2</v>
      </c>
    </row>
    <row r="8" spans="1:10" x14ac:dyDescent="0.35">
      <c r="A8" s="15" t="s">
        <v>97</v>
      </c>
      <c r="B8" s="34">
        <f>INDEX(Budget!$B$21:$M$21,$C$4)</f>
        <v>34525</v>
      </c>
      <c r="C8" s="34">
        <f>INDEX(Actuals!$B$6:$M$6,$C$4)</f>
        <v>33000</v>
      </c>
      <c r="D8" s="29">
        <f>B8-C8</f>
        <v>1525</v>
      </c>
      <c r="E8" s="38">
        <f t="shared" si="0"/>
        <v>4.4170890658942794E-2</v>
      </c>
      <c r="F8" s="3"/>
      <c r="G8" s="34">
        <f>SUMPRODUCT((COLUMN(Budget!$B$21:$M$21)-1&lt;=$C$4)*Budget!$B$21:$M$21)</f>
        <v>34525</v>
      </c>
      <c r="H8" s="34">
        <f>SUMPRODUCT((COLUMN(Actuals!$B$6:$M$6)-1&lt;=$C$4)*Actuals!$B$6:$M$6)</f>
        <v>33000</v>
      </c>
      <c r="I8" s="29">
        <f>G8-H8</f>
        <v>1525</v>
      </c>
      <c r="J8" s="38">
        <f t="shared" si="1"/>
        <v>4.4170890658942794E-2</v>
      </c>
    </row>
    <row r="9" spans="1:10" x14ac:dyDescent="0.35">
      <c r="A9" s="10" t="s">
        <v>98</v>
      </c>
      <c r="B9" s="34">
        <f>INDEX(Budget!$B$23:$M$23,$C$4)</f>
        <v>103575</v>
      </c>
      <c r="C9" s="34">
        <f>INDEX(Actuals!$B$7:$M$7,$C$4)</f>
        <v>95000</v>
      </c>
      <c r="D9" s="29">
        <f>C9-B9</f>
        <v>-8575</v>
      </c>
      <c r="E9" s="38">
        <f t="shared" si="0"/>
        <v>-8.2790248612116826E-2</v>
      </c>
      <c r="F9" s="3"/>
      <c r="G9" s="34">
        <f>SUMPRODUCT((COLUMN(Budget!$B$23:$M$23)-1&lt;=$C$4)*Budget!$B$23:$M$23)</f>
        <v>103575</v>
      </c>
      <c r="H9" s="34">
        <f>SUMPRODUCT((COLUMN(Actuals!$B$7:$M$7)-1&lt;=$C$4)*Actuals!$B$7:$M$7)</f>
        <v>95000</v>
      </c>
      <c r="I9" s="29">
        <f>H9-G9</f>
        <v>-8575</v>
      </c>
      <c r="J9" s="38">
        <f t="shared" si="1"/>
        <v>-8.2790248612116826E-2</v>
      </c>
    </row>
    <row r="10" spans="1:10" x14ac:dyDescent="0.35">
      <c r="A10" s="15" t="s">
        <v>102</v>
      </c>
      <c r="B10" s="34">
        <f>INDEX(Budget!$B$36:$M$36,$C$4)</f>
        <v>64200</v>
      </c>
      <c r="C10" s="34">
        <f>INDEX(Actuals!$B$8:$M$8,$C$4)</f>
        <v>66000</v>
      </c>
      <c r="D10" s="29">
        <f>B10-C10</f>
        <v>-1800</v>
      </c>
      <c r="E10" s="38">
        <f t="shared" si="0"/>
        <v>-2.8037383177570093E-2</v>
      </c>
      <c r="F10" s="3"/>
      <c r="G10" s="34">
        <f>SUMPRODUCT((COLUMN(Budget!$B$36:$M$36)-1&lt;=$C$4)*Budget!$B$36:$M$36)</f>
        <v>64200</v>
      </c>
      <c r="H10" s="34">
        <f>SUMPRODUCT((COLUMN(Actuals!$B$8:$M$8)-1&lt;=$C$4)*Actuals!$B$8:$M$8)</f>
        <v>66000</v>
      </c>
      <c r="I10" s="29">
        <f>G10-H10</f>
        <v>-1800</v>
      </c>
      <c r="J10" s="38">
        <f t="shared" si="1"/>
        <v>-2.8037383177570093E-2</v>
      </c>
    </row>
    <row r="11" spans="1:10" x14ac:dyDescent="0.35">
      <c r="A11" s="15" t="s">
        <v>104</v>
      </c>
      <c r="B11" s="34">
        <f>INDEX(Budget!$B$47:$M$47,$C$4)</f>
        <v>20200</v>
      </c>
      <c r="C11" s="34">
        <f>INDEX(Actuals!$B$9:$M$9,$C$4)</f>
        <v>21500</v>
      </c>
      <c r="D11" s="29">
        <f>B11-C11</f>
        <v>-1300</v>
      </c>
      <c r="E11" s="38">
        <f t="shared" si="0"/>
        <v>-6.4356435643564358E-2</v>
      </c>
      <c r="F11" s="3"/>
      <c r="G11" s="34">
        <f>SUMPRODUCT((COLUMN(Budget!$B$47:$M$47)-1&lt;=$C$4)*Budget!$B$47:$M$47)</f>
        <v>20200</v>
      </c>
      <c r="H11" s="34">
        <f>SUMPRODUCT((COLUMN(Actuals!$B$9:$M$9)-1&lt;=$C$4)*Actuals!$B$9:$M$9)</f>
        <v>21500</v>
      </c>
      <c r="I11" s="29">
        <f>G11-H11</f>
        <v>-1300</v>
      </c>
      <c r="J11" s="38">
        <f t="shared" si="1"/>
        <v>-6.4356435643564358E-2</v>
      </c>
    </row>
    <row r="12" spans="1:10" x14ac:dyDescent="0.35">
      <c r="A12" s="15" t="s">
        <v>106</v>
      </c>
      <c r="B12" s="34">
        <f>INDEX(Budget!$B$50:$M$50,$C$4)</f>
        <v>1416.6666666666667</v>
      </c>
      <c r="C12" s="34">
        <f>INDEX(Actuals!$B$10:$M$10,$C$4)</f>
        <v>1400</v>
      </c>
      <c r="D12" s="29">
        <f>B12-C12</f>
        <v>16.666666666666742</v>
      </c>
      <c r="E12" s="38">
        <f t="shared" si="0"/>
        <v>1.1764705882352995E-2</v>
      </c>
      <c r="F12" s="3"/>
      <c r="G12" s="34">
        <f>SUMPRODUCT((COLUMN(Budget!$B$50:$M$50)-1&lt;=$C$4)*Budget!$B$50:$M$50)</f>
        <v>1416.6666666666667</v>
      </c>
      <c r="H12" s="34">
        <f>SUMPRODUCT((COLUMN(Actuals!$B$10:$M$10)-1&lt;=$C$4)*Actuals!$B$10:$M$10)</f>
        <v>1400</v>
      </c>
      <c r="I12" s="29">
        <f>G12-H12</f>
        <v>16.666666666666742</v>
      </c>
      <c r="J12" s="38">
        <f t="shared" si="1"/>
        <v>1.1764705882352995E-2</v>
      </c>
    </row>
    <row r="13" spans="1:10" x14ac:dyDescent="0.35">
      <c r="A13" s="10" t="s">
        <v>107</v>
      </c>
      <c r="B13" s="34">
        <f>INDEX(Budget!$B$51:$M$51,$C$4)</f>
        <v>17758.333333333332</v>
      </c>
      <c r="C13" s="34">
        <f>INDEX(Actuals!$B$11:$M$11,$C$4)</f>
        <v>6100</v>
      </c>
      <c r="D13" s="29">
        <f>C13-B13</f>
        <v>-11658.333333333332</v>
      </c>
      <c r="E13" s="38">
        <f t="shared" si="0"/>
        <v>-0.65649929610511493</v>
      </c>
      <c r="F13" s="3"/>
      <c r="G13" s="34">
        <f>SUMPRODUCT((COLUMN(Budget!$B$51:$M$51)-1&lt;=$C$4)*Budget!$B$51:$M$51)</f>
        <v>17758.333333333332</v>
      </c>
      <c r="H13" s="34">
        <f>SUMPRODUCT((COLUMN(Actuals!$B$11:$M$11)-1&lt;=$C$4)*Actuals!$B$11:$M$11)</f>
        <v>6100</v>
      </c>
      <c r="I13" s="29">
        <f>H13-G13</f>
        <v>-11658.333333333332</v>
      </c>
      <c r="J13" s="38">
        <f t="shared" si="1"/>
        <v>-0.65649929610511493</v>
      </c>
    </row>
    <row r="14" spans="1:10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35">
      <c r="A15" s="2" t="s">
        <v>143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35">
      <c r="A17" s="39" t="s">
        <v>144</v>
      </c>
      <c r="B17" s="3"/>
      <c r="C17" s="3"/>
      <c r="D17" s="3"/>
      <c r="E17" s="3"/>
      <c r="F17" s="3"/>
      <c r="G17" s="3"/>
      <c r="H17" s="3"/>
      <c r="I17" s="3"/>
      <c r="J17" s="3"/>
    </row>
  </sheetData>
  <conditionalFormatting sqref="D7:E13">
    <cfRule type="cellIs" dxfId="1" priority="2" operator="lessThan">
      <formula>0</formula>
    </cfRule>
  </conditionalFormatting>
  <conditionalFormatting sqref="I7:J13">
    <cfRule type="cellIs" dxfId="0" priority="3" operator="lessThan">
      <formula>0</formula>
    </cfRule>
  </conditionalFormatting>
  <dataValidations count="1">
    <dataValidation type="list" sqref="B4" xr:uid="{00000000-0002-0000-0500-000000000000}">
      <formula1>"Jan,Feb,Mar,Apr,May,Jun,Jul,Aug,Sep,Oct,Nov,Dec"</formula1>
      <formula2>0</formula2>
    </dataValidation>
  </dataValidations>
  <hyperlinks>
    <hyperlink ref="A17" r:id="rId1" xr:uid="{00000000-0004-0000-0500-000000000000}"/>
  </hyperlink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Assumptions</vt:lpstr>
      <vt:lpstr>Budget</vt:lpstr>
      <vt:lpstr>Cash Flow</vt:lpstr>
      <vt:lpstr>Actuals</vt:lpstr>
      <vt:lpstr>Budget vs Actual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Calvin Wu</cp:lastModifiedBy>
  <cp:revision>0</cp:revision>
  <dcterms:created xsi:type="dcterms:W3CDTF">2026-10-21T17:37:49Z</dcterms:created>
  <dcterms:modified xsi:type="dcterms:W3CDTF">2026-10-21T17:52:21Z</dcterms:modified>
  <dc:language>en-US</dc:language>
</cp:coreProperties>
</file>